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2" windowWidth="18192" windowHeight="11700" tabRatio="698" firstSheet="59" activeTab="63"/>
  </bookViews>
  <sheets>
    <sheet name="Январь 2016" sheetId="1" r:id="rId1"/>
    <sheet name="Февраль 2016 г." sheetId="2" r:id="rId2"/>
    <sheet name="март 2016 г." sheetId="3" r:id="rId3"/>
    <sheet name="апрель 2016 г." sheetId="4" r:id="rId4"/>
    <sheet name="май 2016 г." sheetId="5" r:id="rId5"/>
    <sheet name="июнь 2016 г." sheetId="6" r:id="rId6"/>
    <sheet name="июль 2016 г." sheetId="7" r:id="rId7"/>
    <sheet name="август2016г." sheetId="8" r:id="rId8"/>
    <sheet name="сентябрь 2016" sheetId="9" r:id="rId9"/>
    <sheet name="октябрь 2016 г." sheetId="10" r:id="rId10"/>
    <sheet name="ноябрь 2016 г." sheetId="11" r:id="rId11"/>
    <sheet name="декабрь 2016г." sheetId="12" r:id="rId12"/>
    <sheet name="январь 2017г" sheetId="13" r:id="rId13"/>
    <sheet name="февраль 2017г." sheetId="14" r:id="rId14"/>
    <sheet name="март 2017г" sheetId="15" r:id="rId15"/>
    <sheet name="апрель 2017г" sheetId="16" r:id="rId16"/>
    <sheet name="май 2017г" sheetId="17" r:id="rId17"/>
    <sheet name="июнь 2017г. " sheetId="18" r:id="rId18"/>
    <sheet name="июль 2017г." sheetId="19" r:id="rId19"/>
    <sheet name="авг 2017г" sheetId="20" r:id="rId20"/>
    <sheet name="сент 2017г " sheetId="21" r:id="rId21"/>
    <sheet name="окт 2017г" sheetId="22" r:id="rId22"/>
    <sheet name="нояб 2017г" sheetId="23" r:id="rId23"/>
    <sheet name="дек 2017г" sheetId="24" r:id="rId24"/>
    <sheet name="2017" sheetId="25" r:id="rId25"/>
    <sheet name="янв 2018" sheetId="26" r:id="rId26"/>
    <sheet name="фев 2018" sheetId="27" r:id="rId27"/>
    <sheet name="март 2018" sheetId="28" r:id="rId28"/>
    <sheet name="апр 2018" sheetId="29" r:id="rId29"/>
    <sheet name="май 2018" sheetId="30" r:id="rId30"/>
    <sheet name="июнь 2018" sheetId="31" r:id="rId31"/>
    <sheet name="июль 2018" sheetId="32" r:id="rId32"/>
    <sheet name="авг 2018" sheetId="33" r:id="rId33"/>
    <sheet name="сент 2018" sheetId="34" r:id="rId34"/>
    <sheet name="окт 2018" sheetId="35" r:id="rId35"/>
    <sheet name="нояб 2018" sheetId="36" r:id="rId36"/>
    <sheet name="дек 2018" sheetId="37" r:id="rId37"/>
    <sheet name="2018г" sheetId="38" r:id="rId38"/>
    <sheet name="янв 2019" sheetId="39" r:id="rId39"/>
    <sheet name="февр 2019" sheetId="40" r:id="rId40"/>
    <sheet name="март 2019" sheetId="41" r:id="rId41"/>
    <sheet name="апр 2019" sheetId="42" r:id="rId42"/>
    <sheet name="май 2019" sheetId="43" r:id="rId43"/>
    <sheet name="июнь 2019" sheetId="44" r:id="rId44"/>
    <sheet name="июль 2019" sheetId="45" r:id="rId45"/>
    <sheet name="авг 2019" sheetId="46" r:id="rId46"/>
    <sheet name="сент 2019" sheetId="47" r:id="rId47"/>
    <sheet name="окт 2019" sheetId="48" r:id="rId48"/>
    <sheet name="нояб 2019" sheetId="49" r:id="rId49"/>
    <sheet name="дек 2019" sheetId="50" r:id="rId50"/>
    <sheet name="2019" sheetId="51" r:id="rId51"/>
    <sheet name="янв 2020" sheetId="52" r:id="rId52"/>
    <sheet name="февр 2020" sheetId="53" r:id="rId53"/>
    <sheet name="март 2020" sheetId="54" r:id="rId54"/>
    <sheet name="апр 2020" sheetId="55" r:id="rId55"/>
    <sheet name="май 2020" sheetId="56" r:id="rId56"/>
    <sheet name="июнь 2020" sheetId="57" r:id="rId57"/>
    <sheet name="июль 2020" sheetId="58" r:id="rId58"/>
    <sheet name="авг 2020" sheetId="59" r:id="rId59"/>
    <sheet name="сент 2020" sheetId="60" r:id="rId60"/>
    <sheet name="окт 2020г" sheetId="61" r:id="rId61"/>
    <sheet name="нояб 2020" sheetId="62" r:id="rId62"/>
    <sheet name="дек 2020" sheetId="63" r:id="rId63"/>
    <sheet name="2020" sheetId="64" r:id="rId64"/>
    <sheet name="янв 2021" sheetId="65" r:id="rId65"/>
    <sheet name="февр 2021" sheetId="66" r:id="rId66"/>
    <sheet name="март 2021" sheetId="67" r:id="rId67"/>
    <sheet name="апр 2021" sheetId="68" r:id="rId68"/>
    <sheet name="май 2021" sheetId="69" r:id="rId69"/>
  </sheets>
  <calcPr calcId="145621"/>
</workbook>
</file>

<file path=xl/calcChain.xml><?xml version="1.0" encoding="utf-8"?>
<calcChain xmlns="http://schemas.openxmlformats.org/spreadsheetml/2006/main">
  <c r="E19" i="67" l="1"/>
  <c r="F22" i="67" l="1"/>
  <c r="E18" i="67"/>
  <c r="F14" i="67"/>
  <c r="F13" i="67"/>
  <c r="F12" i="67"/>
  <c r="F11" i="67"/>
  <c r="F10" i="67"/>
  <c r="F9" i="67"/>
  <c r="F15" i="67" s="1"/>
  <c r="K23" i="67" l="1"/>
  <c r="F22" i="66"/>
  <c r="E19" i="66" l="1"/>
  <c r="E18" i="66"/>
  <c r="F14" i="66"/>
  <c r="F13" i="66"/>
  <c r="F12" i="66"/>
  <c r="F11" i="66"/>
  <c r="F10" i="66"/>
  <c r="F9" i="66"/>
  <c r="F15" i="66" s="1"/>
  <c r="K23" i="66" l="1"/>
  <c r="F23" i="65"/>
  <c r="E22" i="65"/>
  <c r="E21" i="65"/>
  <c r="E20" i="65"/>
  <c r="E19" i="65"/>
  <c r="E18" i="65"/>
  <c r="F6" i="64" l="1"/>
  <c r="F9" i="63"/>
  <c r="F14" i="65" l="1"/>
  <c r="F13" i="65"/>
  <c r="F12" i="65"/>
  <c r="F11" i="65"/>
  <c r="F10" i="65"/>
  <c r="F9" i="65"/>
  <c r="F15" i="65" s="1"/>
  <c r="K24" i="65" s="1"/>
  <c r="L11" i="64" l="1"/>
  <c r="F11" i="64"/>
  <c r="L10" i="64"/>
  <c r="F10" i="64"/>
  <c r="L9" i="64"/>
  <c r="F9" i="64"/>
  <c r="L8" i="64"/>
  <c r="F8" i="64"/>
  <c r="L7" i="64"/>
  <c r="F7" i="64"/>
  <c r="L6" i="64"/>
  <c r="F19" i="64"/>
  <c r="L43" i="64"/>
  <c r="F43" i="64"/>
  <c r="E40" i="64"/>
  <c r="E39" i="64"/>
  <c r="E38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5" i="64"/>
  <c r="E24" i="64"/>
  <c r="E23" i="64"/>
  <c r="E22" i="64"/>
  <c r="E42" i="64"/>
  <c r="E41" i="64"/>
  <c r="F22" i="63" l="1"/>
  <c r="E19" i="63"/>
  <c r="E18" i="63"/>
  <c r="F14" i="63"/>
  <c r="F13" i="63"/>
  <c r="F12" i="63"/>
  <c r="F11" i="63"/>
  <c r="F10" i="63"/>
  <c r="F15" i="63" l="1"/>
  <c r="F24" i="62"/>
  <c r="E21" i="62"/>
  <c r="K23" i="63" l="1"/>
  <c r="L19" i="64"/>
  <c r="E20" i="62"/>
  <c r="F14" i="62"/>
  <c r="F13" i="62"/>
  <c r="F12" i="62"/>
  <c r="F11" i="62"/>
  <c r="F10" i="62"/>
  <c r="F9" i="62"/>
  <c r="F17" i="62" l="1"/>
  <c r="K23" i="62" s="1"/>
  <c r="E18" i="61"/>
  <c r="F25" i="61" l="1"/>
  <c r="F14" i="61"/>
  <c r="F13" i="61"/>
  <c r="F12" i="61"/>
  <c r="F11" i="61"/>
  <c r="F10" i="61"/>
  <c r="F9" i="61"/>
  <c r="F15" i="61" s="1"/>
  <c r="K26" i="61" s="1"/>
  <c r="F25" i="60" l="1"/>
  <c r="E24" i="60" l="1"/>
  <c r="E23" i="60"/>
  <c r="E22" i="60"/>
  <c r="E21" i="60"/>
  <c r="E20" i="60"/>
  <c r="E19" i="60"/>
  <c r="E18" i="60"/>
  <c r="F14" i="60"/>
  <c r="F13" i="60"/>
  <c r="F12" i="60"/>
  <c r="F11" i="60"/>
  <c r="F10" i="60"/>
  <c r="F9" i="60"/>
  <c r="F15" i="60" s="1"/>
  <c r="K26" i="60" s="1"/>
  <c r="E18" i="59" l="1"/>
  <c r="E19" i="59"/>
  <c r="F22" i="59"/>
  <c r="F14" i="59"/>
  <c r="F13" i="59"/>
  <c r="F12" i="59"/>
  <c r="F11" i="59"/>
  <c r="F10" i="59"/>
  <c r="F9" i="59"/>
  <c r="F15" i="59" s="1"/>
  <c r="K23" i="59" s="1"/>
  <c r="E19" i="58" l="1"/>
  <c r="E18" i="58" l="1"/>
  <c r="F15" i="58" l="1"/>
  <c r="F22" i="58"/>
  <c r="F14" i="58"/>
  <c r="F13" i="58"/>
  <c r="F12" i="58"/>
  <c r="F11" i="58"/>
  <c r="F10" i="58"/>
  <c r="F9" i="58"/>
  <c r="K23" i="58" l="1"/>
  <c r="K26" i="57"/>
  <c r="F18" i="57"/>
  <c r="F17" i="56"/>
  <c r="E22" i="57" l="1"/>
  <c r="E21" i="57" l="1"/>
  <c r="F25" i="57" l="1"/>
  <c r="F14" i="57"/>
  <c r="F13" i="57"/>
  <c r="F12" i="57"/>
  <c r="F11" i="57"/>
  <c r="F10" i="57"/>
  <c r="F9" i="57"/>
  <c r="E20" i="56" l="1"/>
  <c r="F24" i="56"/>
  <c r="F14" i="56"/>
  <c r="F13" i="56"/>
  <c r="F12" i="56"/>
  <c r="F11" i="56"/>
  <c r="F10" i="56"/>
  <c r="F9" i="56"/>
  <c r="K25" i="56" l="1"/>
  <c r="F23" i="55"/>
  <c r="F14" i="55"/>
  <c r="F13" i="55"/>
  <c r="F12" i="55"/>
  <c r="F11" i="55"/>
  <c r="F10" i="55"/>
  <c r="F9" i="55"/>
  <c r="F16" i="55" s="1"/>
  <c r="K24" i="55" s="1"/>
  <c r="F23" i="54" l="1"/>
  <c r="F14" i="54"/>
  <c r="F13" i="54"/>
  <c r="F12" i="54"/>
  <c r="F11" i="54"/>
  <c r="F10" i="54"/>
  <c r="F9" i="54"/>
  <c r="F16" i="54" s="1"/>
  <c r="K24" i="54" s="1"/>
  <c r="F9" i="52" l="1"/>
  <c r="F9" i="53"/>
  <c r="F23" i="53" l="1"/>
  <c r="F14" i="53"/>
  <c r="F13" i="53"/>
  <c r="F12" i="53"/>
  <c r="F11" i="53"/>
  <c r="F10" i="53"/>
  <c r="F16" i="53"/>
  <c r="K24" i="53" s="1"/>
  <c r="F16" i="52"/>
  <c r="E19" i="52" l="1"/>
  <c r="F23" i="52" l="1"/>
  <c r="F14" i="52"/>
  <c r="F13" i="52"/>
  <c r="F12" i="52"/>
  <c r="F11" i="52"/>
  <c r="F10" i="52"/>
  <c r="K24" i="52"/>
  <c r="F16" i="51" l="1"/>
  <c r="F14" i="51"/>
  <c r="L18" i="50"/>
  <c r="L17" i="50"/>
  <c r="L16" i="50"/>
  <c r="F9" i="50"/>
  <c r="L16" i="51" l="1"/>
  <c r="F15" i="51"/>
  <c r="L15" i="51" s="1"/>
  <c r="L14" i="51"/>
  <c r="F11" i="51" l="1"/>
  <c r="F10" i="51"/>
  <c r="F9" i="51"/>
  <c r="F8" i="51"/>
  <c r="F7" i="51"/>
  <c r="F6" i="51"/>
  <c r="F18" i="51" s="1"/>
  <c r="L33" i="51"/>
  <c r="E32" i="51"/>
  <c r="E31" i="51"/>
  <c r="E30" i="51"/>
  <c r="E29" i="51"/>
  <c r="E28" i="51"/>
  <c r="E22" i="45"/>
  <c r="E27" i="51"/>
  <c r="E23" i="44"/>
  <c r="E26" i="51"/>
  <c r="E25" i="51"/>
  <c r="F23" i="51"/>
  <c r="F22" i="51"/>
  <c r="F33" i="51" s="1"/>
  <c r="E21" i="51"/>
  <c r="F13" i="51" l="1"/>
  <c r="F26" i="50"/>
  <c r="F14" i="50"/>
  <c r="F13" i="50"/>
  <c r="F12" i="50"/>
  <c r="F11" i="50"/>
  <c r="F10" i="50"/>
  <c r="F15" i="50"/>
  <c r="F19" i="50" l="1"/>
  <c r="L13" i="51"/>
  <c r="F23" i="48"/>
  <c r="F17" i="48"/>
  <c r="F18" i="48"/>
  <c r="F9" i="48"/>
  <c r="K27" i="50" l="1"/>
  <c r="L18" i="51"/>
  <c r="F26" i="49"/>
  <c r="F18" i="49"/>
  <c r="F17" i="49"/>
  <c r="F16" i="49"/>
  <c r="F14" i="49"/>
  <c r="F13" i="49"/>
  <c r="F12" i="49"/>
  <c r="F11" i="49"/>
  <c r="F10" i="49"/>
  <c r="F9" i="49"/>
  <c r="F15" i="49" s="1"/>
  <c r="F19" i="49" l="1"/>
  <c r="K27" i="49" s="1"/>
  <c r="E22" i="48"/>
  <c r="F16" i="48" l="1"/>
  <c r="F14" i="48"/>
  <c r="F13" i="48"/>
  <c r="F12" i="48"/>
  <c r="F11" i="48"/>
  <c r="F10" i="48"/>
  <c r="F15" i="48" s="1"/>
  <c r="F19" i="48" l="1"/>
  <c r="K24" i="48" s="1"/>
  <c r="E23" i="47" l="1"/>
  <c r="F26" i="47" l="1"/>
  <c r="E22" i="47"/>
  <c r="F18" i="47"/>
  <c r="F17" i="47"/>
  <c r="F16" i="47"/>
  <c r="F14" i="47"/>
  <c r="F13" i="47"/>
  <c r="F12" i="47"/>
  <c r="F11" i="47"/>
  <c r="F10" i="47"/>
  <c r="F9" i="47"/>
  <c r="F15" i="47" s="1"/>
  <c r="F19" i="47" s="1"/>
  <c r="K27" i="47" s="1"/>
  <c r="E22" i="46" l="1"/>
  <c r="F26" i="46"/>
  <c r="F18" i="46"/>
  <c r="F17" i="46"/>
  <c r="F16" i="46"/>
  <c r="F14" i="46"/>
  <c r="F13" i="46"/>
  <c r="F12" i="46"/>
  <c r="F11" i="46"/>
  <c r="F10" i="46"/>
  <c r="F9" i="46"/>
  <c r="F15" i="46" s="1"/>
  <c r="F19" i="46" s="1"/>
  <c r="K27" i="46" l="1"/>
  <c r="F18" i="45"/>
  <c r="F17" i="45"/>
  <c r="F16" i="45"/>
  <c r="F14" i="45"/>
  <c r="F13" i="45"/>
  <c r="F12" i="45"/>
  <c r="F11" i="45"/>
  <c r="F10" i="45"/>
  <c r="F9" i="45"/>
  <c r="F15" i="45" l="1"/>
  <c r="F26" i="45" l="1"/>
  <c r="F19" i="45" l="1"/>
  <c r="K27" i="45" s="1"/>
  <c r="F19" i="44"/>
  <c r="F18" i="44"/>
  <c r="F17" i="44"/>
  <c r="F14" i="44"/>
  <c r="F13" i="44"/>
  <c r="F12" i="44"/>
  <c r="F11" i="44"/>
  <c r="F10" i="44"/>
  <c r="F9" i="44"/>
  <c r="F16" i="44" l="1"/>
  <c r="F27" i="44"/>
  <c r="F20" i="44" l="1"/>
  <c r="K28" i="44" s="1"/>
  <c r="F26" i="43"/>
  <c r="E22" i="43"/>
  <c r="F18" i="43"/>
  <c r="F17" i="43"/>
  <c r="F16" i="43"/>
  <c r="F14" i="43"/>
  <c r="F13" i="43"/>
  <c r="F12" i="43"/>
  <c r="F11" i="43"/>
  <c r="F10" i="43"/>
  <c r="F9" i="43"/>
  <c r="F15" i="43" s="1"/>
  <c r="F19" i="43" s="1"/>
  <c r="K27" i="43" s="1"/>
  <c r="E22" i="42" l="1"/>
  <c r="F26" i="42" l="1"/>
  <c r="F18" i="42"/>
  <c r="F17" i="42"/>
  <c r="F16" i="42"/>
  <c r="F14" i="42"/>
  <c r="F13" i="42"/>
  <c r="F12" i="42"/>
  <c r="F11" i="42"/>
  <c r="F10" i="42"/>
  <c r="F9" i="42"/>
  <c r="F15" i="42" s="1"/>
  <c r="F19" i="42" l="1"/>
  <c r="K27" i="42" s="1"/>
  <c r="F22" i="41"/>
  <c r="F26" i="41" s="1"/>
  <c r="F18" i="41"/>
  <c r="F17" i="41"/>
  <c r="F16" i="41"/>
  <c r="F14" i="41"/>
  <c r="F13" i="41"/>
  <c r="F12" i="41"/>
  <c r="F11" i="41"/>
  <c r="F10" i="41"/>
  <c r="F9" i="41"/>
  <c r="F15" i="41" s="1"/>
  <c r="F19" i="41" l="1"/>
  <c r="K27" i="41" s="1"/>
  <c r="F19" i="40"/>
  <c r="F15" i="40" l="1"/>
  <c r="F19" i="39" l="1"/>
  <c r="F15" i="39"/>
  <c r="F21" i="37" l="1"/>
  <c r="K19" i="37"/>
  <c r="K18" i="37"/>
  <c r="K17" i="37"/>
  <c r="F12" i="38"/>
  <c r="F13" i="38"/>
  <c r="F18" i="38"/>
  <c r="F22" i="40" l="1"/>
  <c r="F26" i="40" l="1"/>
  <c r="F18" i="40"/>
  <c r="F17" i="40"/>
  <c r="F16" i="40"/>
  <c r="F14" i="40"/>
  <c r="F13" i="40"/>
  <c r="F12" i="40"/>
  <c r="F11" i="40"/>
  <c r="F10" i="40"/>
  <c r="F9" i="40"/>
  <c r="K27" i="40" l="1"/>
  <c r="F26" i="39"/>
  <c r="E22" i="39"/>
  <c r="F18" i="39"/>
  <c r="F17" i="39"/>
  <c r="F16" i="39"/>
  <c r="F14" i="39"/>
  <c r="F13" i="39"/>
  <c r="F12" i="39"/>
  <c r="F11" i="39"/>
  <c r="F10" i="39"/>
  <c r="F9" i="39"/>
  <c r="K27" i="39" l="1"/>
  <c r="F17" i="38"/>
  <c r="L17" i="38" s="1"/>
  <c r="F16" i="38"/>
  <c r="L16" i="38" s="1"/>
  <c r="F15" i="38"/>
  <c r="L15" i="38" s="1"/>
  <c r="L42" i="38" l="1"/>
  <c r="F42" i="38"/>
  <c r="E37" i="38"/>
  <c r="E36" i="38"/>
  <c r="E35" i="38"/>
  <c r="E33" i="38"/>
  <c r="E32" i="38"/>
  <c r="E31" i="38"/>
  <c r="E30" i="38"/>
  <c r="E38" i="38"/>
  <c r="E29" i="38"/>
  <c r="E28" i="38"/>
  <c r="E27" i="38"/>
  <c r="E26" i="38"/>
  <c r="E22" i="38"/>
  <c r="E41" i="38"/>
  <c r="E40" i="38"/>
  <c r="E39" i="38"/>
  <c r="F28" i="37" l="1"/>
  <c r="E27" i="37"/>
  <c r="E26" i="37"/>
  <c r="E25" i="37"/>
  <c r="E24" i="37"/>
  <c r="F11" i="38"/>
  <c r="F10" i="38"/>
  <c r="F9" i="38"/>
  <c r="F8" i="38"/>
  <c r="F7" i="38"/>
  <c r="L19" i="38" l="1"/>
  <c r="F6" i="38"/>
  <c r="K29" i="37"/>
  <c r="F24" i="36"/>
  <c r="F17" i="36"/>
  <c r="F16" i="36"/>
  <c r="F15" i="36"/>
  <c r="F14" i="36"/>
  <c r="F13" i="36"/>
  <c r="F12" i="36"/>
  <c r="F11" i="36"/>
  <c r="F10" i="36"/>
  <c r="F9" i="36"/>
  <c r="L6" i="38" l="1"/>
  <c r="F19" i="38"/>
  <c r="L14" i="38"/>
  <c r="F18" i="36"/>
  <c r="K25" i="36" s="1"/>
  <c r="E23" i="35"/>
  <c r="F24" i="35"/>
  <c r="E22" i="35" l="1"/>
  <c r="E21" i="35"/>
  <c r="F17" i="35"/>
  <c r="F16" i="35"/>
  <c r="F15" i="35"/>
  <c r="F14" i="35"/>
  <c r="F13" i="35"/>
  <c r="F12" i="35"/>
  <c r="F11" i="35"/>
  <c r="F10" i="35"/>
  <c r="F9" i="35"/>
  <c r="F18" i="35" l="1"/>
  <c r="K25" i="35" s="1"/>
  <c r="F23" i="34"/>
  <c r="F17" i="34"/>
  <c r="F16" i="34"/>
  <c r="F15" i="34"/>
  <c r="F14" i="34"/>
  <c r="F13" i="34"/>
  <c r="F12" i="34"/>
  <c r="F11" i="34"/>
  <c r="F10" i="34"/>
  <c r="F18" i="34" s="1"/>
  <c r="K24" i="34" s="1"/>
  <c r="F9" i="34"/>
  <c r="F17" i="33" l="1"/>
  <c r="F23" i="33" l="1"/>
  <c r="F16" i="33"/>
  <c r="F15" i="33"/>
  <c r="F14" i="33"/>
  <c r="F13" i="33"/>
  <c r="F12" i="33"/>
  <c r="F11" i="33"/>
  <c r="F10" i="33"/>
  <c r="F9" i="33"/>
  <c r="F18" i="33" s="1"/>
  <c r="K24" i="33" s="1"/>
  <c r="F16" i="32" l="1"/>
  <c r="F15" i="32"/>
  <c r="F15" i="31" l="1"/>
  <c r="F16" i="31"/>
  <c r="F23" i="32"/>
  <c r="E22" i="32"/>
  <c r="E21" i="32"/>
  <c r="F14" i="32"/>
  <c r="F13" i="32"/>
  <c r="F12" i="32"/>
  <c r="F11" i="32"/>
  <c r="F10" i="32"/>
  <c r="F9" i="32"/>
  <c r="F18" i="32" l="1"/>
  <c r="K24" i="32" s="1"/>
  <c r="E25" i="31"/>
  <c r="F26" i="31"/>
  <c r="E24" i="31"/>
  <c r="F19" i="31"/>
  <c r="F18" i="31"/>
  <c r="F17" i="31"/>
  <c r="F14" i="31"/>
  <c r="F13" i="31"/>
  <c r="F12" i="31"/>
  <c r="F11" i="31"/>
  <c r="F10" i="31"/>
  <c r="F9" i="31"/>
  <c r="F21" i="31" l="1"/>
  <c r="K27" i="31" s="1"/>
  <c r="E25" i="30"/>
  <c r="E24" i="30" l="1"/>
  <c r="F26" i="30" l="1"/>
  <c r="F19" i="30"/>
  <c r="F18" i="30"/>
  <c r="F17" i="30"/>
  <c r="F16" i="30"/>
  <c r="F15" i="30"/>
  <c r="F14" i="30"/>
  <c r="F13" i="30"/>
  <c r="F12" i="30"/>
  <c r="F11" i="30"/>
  <c r="F10" i="30"/>
  <c r="F9" i="30"/>
  <c r="F21" i="30" s="1"/>
  <c r="K27" i="30" l="1"/>
  <c r="F26" i="29"/>
  <c r="E24" i="29"/>
  <c r="E25" i="29"/>
  <c r="F20" i="29" l="1"/>
  <c r="F19" i="29"/>
  <c r="F18" i="29"/>
  <c r="F17" i="29"/>
  <c r="F16" i="29"/>
  <c r="F15" i="29"/>
  <c r="F14" i="29"/>
  <c r="F13" i="29"/>
  <c r="F12" i="29"/>
  <c r="F11" i="29"/>
  <c r="F10" i="29"/>
  <c r="F9" i="29"/>
  <c r="F21" i="29" s="1"/>
  <c r="K27" i="29" s="1"/>
  <c r="F25" i="28" l="1"/>
  <c r="F20" i="28"/>
  <c r="F19" i="28"/>
  <c r="F18" i="28"/>
  <c r="F17" i="28"/>
  <c r="F16" i="28"/>
  <c r="F15" i="28"/>
  <c r="F14" i="28"/>
  <c r="F13" i="28"/>
  <c r="F12" i="28"/>
  <c r="F11" i="28"/>
  <c r="F10" i="28"/>
  <c r="F9" i="28"/>
  <c r="F21" i="28" s="1"/>
  <c r="K26" i="28" l="1"/>
  <c r="F19" i="27"/>
  <c r="F18" i="27"/>
  <c r="F17" i="27"/>
  <c r="F19" i="26"/>
  <c r="F18" i="26"/>
  <c r="F17" i="26"/>
  <c r="F20" i="27"/>
  <c r="F16" i="27"/>
  <c r="F15" i="27"/>
  <c r="F14" i="27"/>
  <c r="F13" i="27"/>
  <c r="F12" i="27"/>
  <c r="F11" i="27"/>
  <c r="F10" i="27"/>
  <c r="F9" i="27"/>
  <c r="F20" i="26"/>
  <c r="F16" i="26"/>
  <c r="F15" i="26"/>
  <c r="F14" i="26"/>
  <c r="F13" i="26"/>
  <c r="F12" i="26"/>
  <c r="F11" i="26"/>
  <c r="F10" i="26"/>
  <c r="F9" i="26"/>
  <c r="F27" i="26"/>
  <c r="E24" i="26"/>
  <c r="F21" i="27" l="1"/>
  <c r="K26" i="27" s="1"/>
  <c r="F21" i="26"/>
  <c r="K28" i="26" s="1"/>
  <c r="K27" i="24"/>
  <c r="E19" i="24" l="1"/>
  <c r="F19" i="25" l="1"/>
  <c r="F17" i="25"/>
  <c r="F16" i="25"/>
  <c r="F15" i="25"/>
  <c r="F14" i="25"/>
  <c r="F13" i="25"/>
  <c r="F12" i="25"/>
  <c r="F11" i="25"/>
  <c r="F10" i="25"/>
  <c r="F9" i="25"/>
  <c r="F8" i="25"/>
  <c r="F6" i="25"/>
  <c r="L41" i="25"/>
  <c r="F41" i="25"/>
  <c r="E40" i="25"/>
  <c r="E24" i="24"/>
  <c r="F26" i="24"/>
  <c r="F20" i="24"/>
  <c r="F16" i="24"/>
  <c r="F15" i="24"/>
  <c r="F14" i="24"/>
  <c r="F13" i="24"/>
  <c r="F12" i="24"/>
  <c r="F11" i="24"/>
  <c r="F10" i="24"/>
  <c r="F21" i="24" s="1"/>
  <c r="F9" i="24"/>
  <c r="L21" i="25" l="1"/>
  <c r="L22" i="25" s="1"/>
  <c r="E36" i="25" l="1"/>
  <c r="E35" i="25"/>
  <c r="E34" i="25"/>
  <c r="E33" i="25"/>
  <c r="E32" i="25"/>
  <c r="E31" i="25"/>
  <c r="E30" i="25"/>
  <c r="E29" i="25"/>
  <c r="E37" i="25"/>
  <c r="E28" i="25"/>
  <c r="E27" i="25"/>
  <c r="E26" i="25"/>
  <c r="E38" i="25"/>
  <c r="F21" i="25" l="1"/>
  <c r="E25" i="23"/>
  <c r="E24" i="23" l="1"/>
  <c r="F27" i="23"/>
  <c r="F20" i="23"/>
  <c r="F16" i="23"/>
  <c r="F15" i="23"/>
  <c r="F14" i="23"/>
  <c r="F13" i="23"/>
  <c r="F12" i="23"/>
  <c r="F11" i="23"/>
  <c r="F10" i="23"/>
  <c r="F9" i="23"/>
  <c r="F21" i="23" s="1"/>
  <c r="E27" i="22" l="1"/>
  <c r="E26" i="22"/>
  <c r="E25" i="22"/>
  <c r="F28" i="22"/>
  <c r="F21" i="22"/>
  <c r="F16" i="22"/>
  <c r="F15" i="22"/>
  <c r="F14" i="22"/>
  <c r="F13" i="22"/>
  <c r="F12" i="22"/>
  <c r="F11" i="22"/>
  <c r="F10" i="22"/>
  <c r="F9" i="22"/>
  <c r="F22" i="22" s="1"/>
  <c r="F26" i="21" l="1"/>
  <c r="E25" i="21"/>
  <c r="E24" i="21"/>
  <c r="E23" i="21"/>
  <c r="F19" i="21"/>
  <c r="F16" i="21"/>
  <c r="F15" i="21"/>
  <c r="F14" i="21"/>
  <c r="F13" i="21"/>
  <c r="F12" i="21"/>
  <c r="F11" i="21"/>
  <c r="F10" i="21"/>
  <c r="F9" i="21"/>
  <c r="F20" i="21" s="1"/>
  <c r="E24" i="20"/>
  <c r="E23" i="20"/>
  <c r="F25" i="20"/>
  <c r="F19" i="20"/>
  <c r="F16" i="20"/>
  <c r="F15" i="20"/>
  <c r="F14" i="20"/>
  <c r="F13" i="20"/>
  <c r="F12" i="20"/>
  <c r="F11" i="20"/>
  <c r="F10" i="20"/>
  <c r="F9" i="20"/>
  <c r="F20" i="20" s="1"/>
  <c r="F19" i="13" l="1"/>
  <c r="F16" i="13"/>
  <c r="F15" i="13"/>
  <c r="F14" i="13"/>
  <c r="F13" i="13"/>
  <c r="F12" i="13"/>
  <c r="F11" i="13"/>
  <c r="F10" i="13"/>
  <c r="F9" i="13"/>
  <c r="F19" i="14"/>
  <c r="F16" i="14"/>
  <c r="F15" i="14"/>
  <c r="F14" i="14"/>
  <c r="F13" i="14"/>
  <c r="F12" i="14"/>
  <c r="F11" i="14"/>
  <c r="F10" i="14"/>
  <c r="F9" i="14"/>
  <c r="F14" i="15"/>
  <c r="F19" i="15"/>
  <c r="F16" i="15"/>
  <c r="F15" i="15"/>
  <c r="F13" i="15"/>
  <c r="F12" i="15"/>
  <c r="F11" i="15"/>
  <c r="F10" i="15"/>
  <c r="F9" i="15"/>
  <c r="F19" i="16"/>
  <c r="F16" i="16"/>
  <c r="F15" i="16"/>
  <c r="F14" i="16"/>
  <c r="F13" i="16"/>
  <c r="F12" i="16"/>
  <c r="F11" i="16"/>
  <c r="F10" i="16"/>
  <c r="F9" i="16"/>
  <c r="F19" i="17"/>
  <c r="F16" i="17"/>
  <c r="F15" i="17"/>
  <c r="F14" i="17"/>
  <c r="F13" i="17"/>
  <c r="F12" i="17"/>
  <c r="F11" i="17"/>
  <c r="F10" i="17"/>
  <c r="F9" i="17"/>
  <c r="F20" i="18"/>
  <c r="F16" i="18"/>
  <c r="F15" i="18"/>
  <c r="F14" i="18"/>
  <c r="F13" i="18"/>
  <c r="F12" i="18"/>
  <c r="F11" i="18"/>
  <c r="F10" i="18"/>
  <c r="F9" i="18"/>
  <c r="F12" i="19"/>
  <c r="F19" i="19"/>
  <c r="F16" i="19"/>
  <c r="F15" i="19"/>
  <c r="F14" i="19"/>
  <c r="F13" i="19"/>
  <c r="F11" i="19"/>
  <c r="F10" i="19"/>
  <c r="F9" i="19"/>
  <c r="F25" i="19" l="1"/>
  <c r="E24" i="19"/>
  <c r="E23" i="19"/>
  <c r="F20" i="19"/>
  <c r="E24" i="18" l="1"/>
  <c r="F25" i="18"/>
  <c r="F21" i="18"/>
  <c r="F24" i="17" l="1"/>
  <c r="F20" i="17"/>
  <c r="F24" i="16"/>
  <c r="F20" i="16"/>
  <c r="F24" i="15" l="1"/>
  <c r="F20" i="15"/>
  <c r="F24" i="14" l="1"/>
  <c r="F20" i="14"/>
  <c r="F20" i="13"/>
  <c r="F25" i="12" l="1"/>
  <c r="E23" i="12"/>
  <c r="E22" i="12"/>
  <c r="E21" i="12"/>
  <c r="F16" i="12"/>
  <c r="F15" i="12"/>
  <c r="F14" i="12"/>
  <c r="F13" i="12"/>
  <c r="F12" i="12"/>
  <c r="F11" i="12"/>
  <c r="F10" i="12"/>
  <c r="F9" i="12"/>
  <c r="F18" i="12" s="1"/>
  <c r="F25" i="11" l="1"/>
  <c r="E23" i="11"/>
  <c r="E22" i="11"/>
  <c r="E21" i="11"/>
  <c r="F16" i="11"/>
  <c r="F15" i="11"/>
  <c r="F14" i="11"/>
  <c r="F13" i="11"/>
  <c r="F12" i="11"/>
  <c r="F11" i="11"/>
  <c r="F10" i="11"/>
  <c r="F9" i="11"/>
  <c r="F18" i="11" s="1"/>
  <c r="F24" i="10"/>
  <c r="E22" i="10" l="1"/>
  <c r="E21" i="10"/>
  <c r="F16" i="10"/>
  <c r="F15" i="10"/>
  <c r="F14" i="10"/>
  <c r="F13" i="10"/>
  <c r="F12" i="10"/>
  <c r="F11" i="10"/>
  <c r="F10" i="10"/>
  <c r="F9" i="10"/>
  <c r="F18" i="10" s="1"/>
  <c r="E21" i="9"/>
  <c r="E22" i="9"/>
  <c r="E23" i="9"/>
  <c r="E24" i="9"/>
  <c r="E25" i="9"/>
  <c r="E26" i="9"/>
  <c r="F28" i="9"/>
  <c r="F16" i="9" l="1"/>
  <c r="F15" i="9"/>
  <c r="F14" i="9"/>
  <c r="F13" i="9"/>
  <c r="F12" i="9"/>
  <c r="F11" i="9"/>
  <c r="F10" i="9"/>
  <c r="F9" i="9"/>
  <c r="F18" i="9" l="1"/>
  <c r="E22" i="8"/>
  <c r="F23" i="8"/>
  <c r="E21" i="8"/>
  <c r="F16" i="8"/>
  <c r="F15" i="8"/>
  <c r="F14" i="8"/>
  <c r="F13" i="8"/>
  <c r="F12" i="8"/>
  <c r="F11" i="8"/>
  <c r="F10" i="8"/>
  <c r="F9" i="8"/>
  <c r="F18" i="8" s="1"/>
  <c r="F16" i="7"/>
  <c r="F15" i="7"/>
  <c r="F14" i="7"/>
  <c r="F13" i="7"/>
  <c r="F12" i="7"/>
  <c r="F11" i="7"/>
  <c r="F10" i="7"/>
  <c r="F9" i="7"/>
  <c r="F18" i="7" s="1"/>
  <c r="F16" i="6"/>
  <c r="F15" i="6"/>
  <c r="F14" i="6"/>
  <c r="F13" i="6"/>
  <c r="F12" i="6"/>
  <c r="F11" i="6"/>
  <c r="F10" i="6"/>
  <c r="F9" i="6"/>
  <c r="F18" i="6" s="1"/>
  <c r="F16" i="5" l="1"/>
  <c r="F15" i="5"/>
  <c r="F14" i="5"/>
  <c r="F13" i="5"/>
  <c r="F12" i="5"/>
  <c r="F11" i="5"/>
  <c r="F10" i="5"/>
  <c r="F9" i="5"/>
  <c r="F24" i="7" l="1"/>
  <c r="E22" i="7"/>
  <c r="E21" i="7"/>
  <c r="F22" i="6"/>
  <c r="E21" i="6"/>
  <c r="E20" i="6"/>
  <c r="F23" i="5" l="1"/>
  <c r="E22" i="5"/>
  <c r="F19" i="5"/>
  <c r="F22" i="4"/>
  <c r="E21" i="4"/>
  <c r="F16" i="4"/>
  <c r="F15" i="4"/>
  <c r="F14" i="4"/>
  <c r="F13" i="4"/>
  <c r="F12" i="4"/>
  <c r="F11" i="4"/>
  <c r="F10" i="4"/>
  <c r="F9" i="4"/>
  <c r="F18" i="4" l="1"/>
  <c r="F16" i="3"/>
  <c r="F15" i="3"/>
  <c r="F14" i="3"/>
  <c r="F13" i="3"/>
  <c r="F12" i="3"/>
  <c r="F11" i="3"/>
  <c r="F10" i="3"/>
  <c r="F9" i="3"/>
  <c r="F18" i="3" s="1"/>
  <c r="F16" i="2"/>
  <c r="F15" i="2"/>
  <c r="F14" i="2"/>
  <c r="F13" i="2"/>
  <c r="F12" i="2"/>
  <c r="F11" i="2"/>
  <c r="F10" i="2"/>
  <c r="F9" i="2"/>
  <c r="F16" i="1" l="1"/>
  <c r="F15" i="1"/>
  <c r="F14" i="1"/>
  <c r="F13" i="1"/>
  <c r="F12" i="1"/>
  <c r="F11" i="1"/>
  <c r="F9" i="1"/>
  <c r="F10" i="1"/>
  <c r="E26" i="3" l="1"/>
  <c r="F27" i="3"/>
  <c r="E23" i="3"/>
  <c r="E22" i="3"/>
  <c r="E21" i="3"/>
  <c r="F24" i="2"/>
  <c r="F23" i="2"/>
  <c r="E22" i="2"/>
  <c r="E21" i="2"/>
  <c r="F18" i="2"/>
  <c r="E22" i="1" l="1"/>
  <c r="E21" i="1" l="1"/>
  <c r="F24" i="1" l="1"/>
  <c r="F18" i="1" l="1"/>
</calcChain>
</file>

<file path=xl/sharedStrings.xml><?xml version="1.0" encoding="utf-8"?>
<sst xmlns="http://schemas.openxmlformats.org/spreadsheetml/2006/main" count="4298" uniqueCount="407">
  <si>
    <t>приёмки оказанных услуг и  выполненныхх работ по содержанию и текущему ремонту общего имущества в многоквартирном доме</t>
  </si>
  <si>
    <t>АКТ  № 1</t>
  </si>
  <si>
    <t>"31" января 2016 года.</t>
  </si>
  <si>
    <t>Наименование вида работы (услуги)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</si>
  <si>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</si>
  <si>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</si>
  <si>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</si>
  <si>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</si>
  <si>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</si>
  <si>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2-х экземплярах, имеющих одинаковую юридическую силу, по одному для каждой их Сторон.</t>
  </si>
  <si>
    <t>Подписи Сторон:</t>
  </si>
  <si>
    <t>Исполнитель  -  Директор ООО УК "Эталон"   Дмитриева Наталья Константиновна  _____________________________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</si>
  <si>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</si>
  <si>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</si>
  <si>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ежедневно    </t>
  </si>
  <si>
    <t>Дератизация подвального помещения</t>
  </si>
  <si>
    <t>ежемесячно</t>
  </si>
  <si>
    <t>РЕМОНТ ОБЩЕГО ИМУЩЕСТВА</t>
  </si>
  <si>
    <t>январь 2016 г.</t>
  </si>
  <si>
    <t xml:space="preserve">                      г. Сортавала</t>
  </si>
  <si>
    <t>Итого по содержанию:</t>
  </si>
  <si>
    <t>Итого по ремонту:</t>
  </si>
  <si>
    <t>Очистка придомовой территории  от снега спец. Техникой</t>
  </si>
  <si>
    <t xml:space="preserve">Фактический объем выполненных работ </t>
  </si>
  <si>
    <t>Периодичность  количественный показатель выполненной работы (оказанной услуги)</t>
  </si>
  <si>
    <t>6 раз в неделю</t>
  </si>
  <si>
    <t>7 раз в неделю</t>
  </si>
  <si>
    <t>м.п.</t>
  </si>
  <si>
    <t>час</t>
  </si>
  <si>
    <t xml:space="preserve">Сбор, вывоз  и  утилизация </t>
  </si>
  <si>
    <t>куб.м.</t>
  </si>
  <si>
    <t>АКТ  № 2</t>
  </si>
  <si>
    <t>февраль 2016 г.</t>
  </si>
  <si>
    <t>АКТ  № 3</t>
  </si>
  <si>
    <t>АКТ  № 12</t>
  </si>
  <si>
    <t>АКТ  № 11</t>
  </si>
  <si>
    <t>АКТ  № 10</t>
  </si>
  <si>
    <t>АКТ  № 9</t>
  </si>
  <si>
    <t>АКТ  № 8</t>
  </si>
  <si>
    <t>АКТ  № 7</t>
  </si>
  <si>
    <t>АКТ  № 6</t>
  </si>
  <si>
    <t>АКТ  № 4</t>
  </si>
  <si>
    <t>АКТ  № 5</t>
  </si>
  <si>
    <t>Замена лампочек,  предохранителей, вставок в подъездах</t>
  </si>
  <si>
    <t>руб./ м2</t>
  </si>
  <si>
    <t>Диспетчеризация Узла учета тепловой энергии</t>
  </si>
  <si>
    <t>март 2016 г.</t>
  </si>
  <si>
    <t>шт</t>
  </si>
  <si>
    <t xml:space="preserve">Уборка лестничных клеток - 536 кв.м.                                         </t>
  </si>
  <si>
    <t>Содержание придомовой территории 1 класса - 1196 кв.м., газон - 1517 кв.м.</t>
  </si>
  <si>
    <t>Содержание мусоропровода (6 стволов)</t>
  </si>
  <si>
    <t>Замена аварийного участка стояка ХВС кв. №№ 16,19</t>
  </si>
  <si>
    <t>Утепление трубопроводов в каналах и коробах минеральной ватой в подъездах №№ 1,2,3</t>
  </si>
  <si>
    <t>м3</t>
  </si>
  <si>
    <t>Заказчик  - Председатель Совета дома № 11 по ул. Бондарева</t>
  </si>
  <si>
    <t xml:space="preserve">                                                                                      Васильев Сергей Николаевич ________________________________</t>
  </si>
  <si>
    <t>"29" февраля 2016 года.</t>
  </si>
  <si>
    <t>Замена замка врезного, вход в подвальное помещение подъезд № 6</t>
  </si>
  <si>
    <t>Замена запорной арматуры на стояке системы отопления в подвале № 3</t>
  </si>
  <si>
    <t>феараль 2016 г.</t>
  </si>
  <si>
    <t>"31" марта 2016 года.</t>
  </si>
  <si>
    <t>Установка новых групповых металлических почтовых ящиков в подъездах №№ 1,2</t>
  </si>
  <si>
    <t>Устранение аварийной ситуации на розливе системы отопления с заменой запорной арматуры, соединителей, тройника диам. 28 мм в подвальном помещении подъезда № 3</t>
  </si>
  <si>
    <t>м2</t>
  </si>
  <si>
    <t>Ремонт штукатурки, масляная окраска стен (место под окном, где расположены новые почтовые ящики) в подъездах №№ 1,2</t>
  </si>
  <si>
    <t>Очистка кровли от сосулек и снега, квартира № 15</t>
  </si>
  <si>
    <t>Замена доводчика, ремонт ПЗУ, подъезд № 5</t>
  </si>
  <si>
    <t>Содержание внутридомовых  инженерных сетей водоснабжения, теплоснабжения, канализации, электроснабжения,, в т.ч. мелкий  до 2-х метров ремонт сетей - согласно минимального перечня</t>
  </si>
  <si>
    <t>Аварийно-диспетчерская служба</t>
  </si>
  <si>
    <t>Собственники помещений в многоквартирном доме, расположенном по адресу: г. Сортавала ул. Бондарева  д. 11, именуемые в дальнейшем "Заказчик", в лице Васильева Сергея Николаевича, являющего собственником квартиры № 37, находящейся в данном многоквартирном доме, действующего на основании Протокола № 8/1-з общего годового собрания собственников помещений в многоквартирном доме  от 16 марта 2015 года,  и ООО УК "Эталон"именуемое в дальнейшем "Исполнитель", в лице  директора Дмитриевой Натальи Константиновны, действующей на основании Устава с другой стороны, совместно именуемые "Стороны", составили настоящий Акт о нижеследующем:                                                                                                                                                                                              1. Исполнителем предъявлены к приёмке следующие оказанные на основании договора управления многоквартирным домом № Б-11/ 2015 на оказания услуг по содержанию и выполнению работ по ремонту общего имущества в многоквартирном доме   по ремонту общего имущества в многоквартирном доме от 01 марта 2015 года (далее "Договор" услуги и выполненные работы по содержанию и текущему ремонту общего имущества в многоквартирном доме № 11 расположенному по адресу:  г. Сортавала, ул. Бондарева:</t>
  </si>
  <si>
    <t>СОДЕРЖАНИЕ ОБЩЕГО ИМУЩЕСТВА (обслуживаемая площадь - 4591,99 кв.м.)</t>
  </si>
  <si>
    <t xml:space="preserve">2. Всего за период с "01" января 2016 года по "31" января 2016 года выполнено работ (оказано услуг) по содержанию общего имущества и ремонту общего имущества на общую сумму 80664,66 рублей (восемьдесят тысяч шестьсот шестьдесят четыре  рубля  66 копеек) </t>
  </si>
  <si>
    <t>Содержание внутридомовых  инженерных сетей водоснабжения, теплоснабжения, канализации, электроснабжения, , в т.ч. мелкий  до 2-х метров ремонт сетей - согласно минимального перечня</t>
  </si>
  <si>
    <t xml:space="preserve">2. Всего за период с "01" февраля 2016 года по "29" февраля 2016 года выполнено работ (оказано услуг) по содержанию общего имущества и ремонту общего имущества на общую сумму 74703,12 рублей (семьдесят четыре тысячи семьсот три  рубля  12 копеек) </t>
  </si>
  <si>
    <t xml:space="preserve">2. Всего за период с "01" марта 2016 года по "31" марта 2016 года выполнено работ (оказано услуг) по содержанию общего имущества и ремонту общего имущества на общую сумму 90726,12 рублей (девяносто тысяч семьсот двадцать шесть  рублей  12 копеек) </t>
  </si>
  <si>
    <t>"30" апреля 2016 года.</t>
  </si>
  <si>
    <t>Регулировка доводчика, под. № 2</t>
  </si>
  <si>
    <t>апрель 2016 г.</t>
  </si>
  <si>
    <t xml:space="preserve">2. Всего за период с "01" апреля 2016 года по "30" апреля 2016 года выполнено работ (оказано услуг) по содержанию общего имущества и ремонту общего имущества на общую сумму 69595,12 рублей (шестьдесят девять тысяч пятьсот девяносто пять  рублей  12 копеек) </t>
  </si>
  <si>
    <t>"31" мая 2016 года.</t>
  </si>
  <si>
    <t>Собственники помещений в многоквартирном доме, расположенном по адресу: г. Сортавала ул. Бондарева  д. 11, именуемые в дальнейшем "Заказчик", в лице Васильева Сергея Николаевича, являющего собственником квартиры № 37, находящейся в данном многоквартирном доме, действующего на основании Протокола № 9 общего годового собрания собственников помещений в многоквартирном доме  от 30 марта 2016 года,  и ООО УК "Эталон"именуемое в дальнейшем "Исполнитель", в лице  директора Дмитриевой Натальи Константиновны, действующей на основании Устава с другой стороны, совместно именуемые "Стороны", составили настоящий Акт о нижеследующем:                                                                                                                                                                                              1. Исполнителем предъявлены к приёмке следующие оказанные на основании договора управления многоквартирным домом № Б-11/ 2015 на оказания услуг по содержанию и выполнению работ по ремонту общего имущества в многоквартирном доме   по ремонту общего имущества в многоквартирном доме от 01 марта 2015 года (далее "Договор" услуги и выполненные работы по содержанию и текущему ремонту общего имущества в многоквартирном доме № 11 расположенному по адресу:  г. Сортавала, ул. Бондарева:</t>
  </si>
  <si>
    <t>Окраска деревянных дверей мусорокамер подъездов №№ 1,2,3,4,5,6</t>
  </si>
  <si>
    <t>май 2016 г.</t>
  </si>
  <si>
    <t>"30" июня 2016 года.</t>
  </si>
  <si>
    <t>Окраска металлических входных дверей входа в  подъезды №№ 1,2,3,4,5,6</t>
  </si>
  <si>
    <t>июнь 2016 г.</t>
  </si>
  <si>
    <t>кв.м.</t>
  </si>
  <si>
    <t>Ремонт освещения с заменой питающего провода на 1-м этаже в подъезде № 2</t>
  </si>
  <si>
    <t>Опрессовка системы отопления</t>
  </si>
  <si>
    <t>1 раз перед началом отопительного периода</t>
  </si>
  <si>
    <t>"31" июля 2016 года.</t>
  </si>
  <si>
    <t>Замена аварийного стояка  ХВС кв. №№ 61,63,66,69,72</t>
  </si>
  <si>
    <t>июль 2016 г.</t>
  </si>
  <si>
    <t>Изготовление и установка табличек на опоре "Выгул собак запрещен"</t>
  </si>
  <si>
    <t>2 шт узла</t>
  </si>
  <si>
    <t xml:space="preserve">2. Всего за период с "01" мая 2016 года по "31" мая 2016 года выполнено работ (оказано услуг) по содержанию общего имущества и ремонту общего имущества на общую сумму 77437,12 рублей (семьдесят семь тысяч четыреста тридцать семь  рублей  12 копеек) </t>
  </si>
  <si>
    <t xml:space="preserve">2. Всего за период с "01" июня 2016 года по "30" июня 2016 года выполнено работ (оказано услуг) по содержанию общего имущества и ремонту общего имущества на общую сумму 74580,12 рублей (семьдесят четыре тысячи пятьсот восемьдесят  рублей  12 копеек) </t>
  </si>
  <si>
    <t xml:space="preserve">2. Всего за период с "01" июля 2016 года по "31" июля 2016 года выполнено работ (оказано услуг) по содержанию общего имущества и ремонту общего имущества на общую сумму 87582,12 рублей (восемьдесят семь тысяч пятьсот восемьдесят два  рубля  12 копеек) </t>
  </si>
  <si>
    <t>"31" августа 2016 года.</t>
  </si>
  <si>
    <t>Ремонт кровельного покрытия входа в подвальное помещение подъезд № 2</t>
  </si>
  <si>
    <t>август 2016г</t>
  </si>
  <si>
    <t>Ремонт системы ПЗУ  (замена БУД) подъезд № 4 ; подъезд № 6</t>
  </si>
  <si>
    <t xml:space="preserve">2. Всего за период с "01" августа 2016 года по "31" августа 2016 года выполнено работ (оказано услуг) по содержанию общего имущества и ремонту общего имущества на общую сумму 80771,12 рублей (восемьдесят тысяч семьсот семьдесят один рубль  12 копеек) </t>
  </si>
  <si>
    <t>"30" сентября 2016 года.</t>
  </si>
  <si>
    <t>сентябрь 2016г</t>
  </si>
  <si>
    <t>Выполнение рабрт (услуг)  по подготовке схемы расположения земельных  участков на кадастровом плане территории по договору № 06/16-22 от 06.06.2016г.</t>
  </si>
  <si>
    <t>Установка металлических урн у входных дверей подъездов №№ 1,2,3,4,5,6</t>
  </si>
  <si>
    <t>Ремонт штукатурки крылец входов в подъезды №№ 1,2,3,4,5,6</t>
  </si>
  <si>
    <t>Утепление чердачного перекрытия теплоизоляционными материалами над кв. №№ 28,45</t>
  </si>
  <si>
    <t>Ремонт отмостки (ул. Бондарева, торцы ж/дома)</t>
  </si>
  <si>
    <t>Замена магистральных сетей теплоснабжения (розлива)  с заменой запорной арматуры на стояках ситстемы отопления в подвальном помещении подъезда №№ 3,4,5,6</t>
  </si>
  <si>
    <t xml:space="preserve">2. Всего за период с "01" сентября 2016 года по "30" сентября 2016 года выполнено работ (оказано услуг) по содержанию общего имущества и ремонту общего имущества на общую сумму 919645,12 рублей (девятьсот девятнадцать тысяч шестьсот сорок пять рубль  12 копеек) </t>
  </si>
  <si>
    <t>"31" октября 2016 года.</t>
  </si>
  <si>
    <t>Ремонт системы ПЗУ (замена считывателя на блоке вызова) подъезд № 5</t>
  </si>
  <si>
    <t>октябрь 2016г.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</si>
  <si>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"ПТЭ"</t>
  </si>
  <si>
    <t xml:space="preserve">2. Всего за период с "01" октября 2016 года по "31" октября 2016 года выполнено работ (оказано услуг) по содержанию общего имущества и ремонту общего имущества на общую сумму 100513,12 рублей (сто тысяч пятьсот тринадцать рублей  12 копеек) </t>
  </si>
  <si>
    <t>"30" ноября 2016 года.</t>
  </si>
  <si>
    <t>Ремонт системы ПЗУ,  подъезд №№ 1, 5</t>
  </si>
  <si>
    <t>ноябрь 2016г.</t>
  </si>
  <si>
    <t>Установка недостающих оконных рам с остеклением и масляной окраской  в подъезде № 2</t>
  </si>
  <si>
    <t>Переподключение  стояков системы теплоснабжения по подвальному помещению № 2  с целью улучшения их работы ( по кв. №№ 16,19,22,25,28)</t>
  </si>
  <si>
    <t xml:space="preserve">2. Всего за период с "01" ноября 2016 года по "30" ноября 2016 года выполнено работ (оказано услуг) по содержанию общего имущества и ремонту общего имущества на общую сумму 82769,12 рублей (восемьдесят две тысячи семьсот шесьдесят девять рублей  12 копеек) </t>
  </si>
  <si>
    <t>узел</t>
  </si>
  <si>
    <t>"31" декабря 2016 года.</t>
  </si>
  <si>
    <t>декабрь 2016г.</t>
  </si>
  <si>
    <t>Очистка территории от снега и наледи спецтранспортом</t>
  </si>
  <si>
    <t>Ремонт системы ПЗУ (замена доводчика подъезд № 1; Замена БУД подъезд № 5)</t>
  </si>
  <si>
    <t>Утепление стояков системы отопления по подвальным помещениям Подъезды №№ 1,2,3,4,5,6</t>
  </si>
  <si>
    <t xml:space="preserve">2. Всего за период с "01" декабря 2016 года по "31" декабря 2016 года выполнено работ (оказано услуг) по содержанию общего имущества и ремонту общего имущества на общую сумму 93567,12 рублей (девяносто три тысячи пятьсот шестьдесят семь рублей  12 копеек) </t>
  </si>
  <si>
    <t>"31" января 2017 года.</t>
  </si>
  <si>
    <t>"28" февраля 2017 года.</t>
  </si>
  <si>
    <t>Замена доводчика, подъезд № 1</t>
  </si>
  <si>
    <t>февраль 2017г.</t>
  </si>
  <si>
    <t>"31" марта 2017 года.</t>
  </si>
  <si>
    <t>"30" апреля 2017 года.</t>
  </si>
  <si>
    <t>"31" мая 2017 года.</t>
  </si>
  <si>
    <t>"30" июня 2017 года.</t>
  </si>
  <si>
    <t>Ремонт системы ПЗУ (замена БВД) подъезд № 5</t>
  </si>
  <si>
    <t>июнь 2017г</t>
  </si>
  <si>
    <t>Дератизация дополнительная</t>
  </si>
  <si>
    <t>апрель 2017г</t>
  </si>
  <si>
    <t>"31" июля 2017 года.</t>
  </si>
  <si>
    <t xml:space="preserve">Промывка и опрессовка системы отопления (05.06.2017г;  06.06.2017г.) </t>
  </si>
  <si>
    <t>июль 2017г</t>
  </si>
  <si>
    <t>Спил аварийных деревьев в количестве 3 штук, вывоз и утилизация на углу ж/дома № 15 по ул. Бондарева, напротив подъездов №№ 1,2 ж/дома № 11 по ул. Бондарева</t>
  </si>
  <si>
    <t>Замена неисправных контрольно-измерительных приборов (манометров) в ИТП №№ 1,2</t>
  </si>
  <si>
    <t xml:space="preserve">ОДН на водоснабжение  </t>
  </si>
  <si>
    <t xml:space="preserve">ОДН на электроснабжение </t>
  </si>
  <si>
    <t>СОДЕРЖАНИЕ ОБЩЕГО ИМУЩЕСТВА (обслуживаемая площадь - 4613 кв.м.)</t>
  </si>
  <si>
    <t xml:space="preserve">2. Всего за период с "01" июня 2017 года по "30" июня 2017 года выполнено работ (оказано услуг) по содержанию общего имущества и ремонту общего имущества на общую сумму 81624,70 рублей (восемьдесят одна тысяча шестьсот двадцать четыре рубля  70 копеек) </t>
  </si>
  <si>
    <t xml:space="preserve">2. Всего за период с "01" мая 2017 года по "31" мая 2017 года выполнено работ (оказано услуг) по содержанию общего имущества и ремонту общего имущества на общую сумму 74999,32 рублей (семьдесят четыре тысячи девятьсот девяносто девять рублей  32 копейки) </t>
  </si>
  <si>
    <t xml:space="preserve">2. Всего за период с "01" апреля 2017 года по "30" апреля 2017 года выполнено работ (оказано услуг) по содержанию общего имущества и ремонту общего имущества на общую сумму 76102,02 рублей (семьдесят шесть тысяч сто два рубля 02 копейки) </t>
  </si>
  <si>
    <t xml:space="preserve">2. Всего за период с "01" марта 2017 года по "31" марта 2017 года выполнено работ (оказано услуг) по содержанию общего имущества и ремонту общего имущества на общую сумму 75000,02 рублей (семьдесят пять тысяч 02 копейки) </t>
  </si>
  <si>
    <t xml:space="preserve">2. Всего за период с "01" февраля 2017 года по 28" февраля 2017 года выполнено работ (оказано услуг) по содержанию общего имущества и ремонту общего имущества на общую сумму 76788,88 рублей (семьдесят шесть тысяч семьсот восемьдесят восемь рублей  88 копеек) </t>
  </si>
  <si>
    <t xml:space="preserve">2. Всего за период с "01" января 2017 года по "31" января 2017 года выполнено работ (оказано услуг) по содержанию общего имущества и ремонту общего имущества на общую сумму 79986,46 рублей (семьдесят девять тысяч девятьсот восемьдесят шесть рублей  46 копеек) </t>
  </si>
  <si>
    <t xml:space="preserve">2. Всего за период с "01" июля 2017 года по "31" июля 2017 года выполнено работ (оказано услуг) по содержанию общего имущества и ремонту общего имущества на общую сумму 106125,39 рублей (сто шесть тысяч сто двадцать пять  рублей  39 копеек) </t>
  </si>
  <si>
    <t>"31" августа 2017 года.</t>
  </si>
  <si>
    <t>Утепление чердачного перекрытия теплоизоляционными  материалами  над кв. № 44</t>
  </si>
  <si>
    <t>август 2017г</t>
  </si>
  <si>
    <t>Ремонт межпанельных швов  кв. № 34</t>
  </si>
  <si>
    <t xml:space="preserve">2. Всего за период с "01" августа 2017 года по "31" августа 2017 года выполнено работ (оказано услуг) по содержанию общего имущества и ремонту общего имущества на общую сумму 141371,97 рублей (сто сорок одна тысяча триста семьдесят один рубль  97 копеек) </t>
  </si>
  <si>
    <t>"30" сентября 2017 года.</t>
  </si>
  <si>
    <t>Ремонт мусорного контейнера (сварочные работы) подъезд № 1</t>
  </si>
  <si>
    <t>сентябрь 2017г</t>
  </si>
  <si>
    <t>Поверка прибора учета тепловой энергии ( снятие прибора учета, сдача их на поверку в специализированную организацию, монтаж прибора учета, сдача прибора учета тепловой энергии ООО "Петербургтеплоэнергия"</t>
  </si>
  <si>
    <t>Разработка схемы организации придомовой территории (благоустройства)</t>
  </si>
  <si>
    <t xml:space="preserve">2. Всего за период с "01" сентября 2017 года по "30" сентября 2017 года выполнено работ (оказано услуг) по содержанию общего имущества и ремонту общего имущества на общую сумму 110638,15 рублей (сто десять тысяч шестьсот тридцать восемь рублей  15 копеек) </t>
  </si>
  <si>
    <t>"31" октября 2017 года.</t>
  </si>
  <si>
    <t>октябрь 2017г</t>
  </si>
  <si>
    <t>Установка металлических скамеек  со спинкой на придомовой тер-и у подъездов №№ 1,2,3,4,5</t>
  </si>
  <si>
    <t>Промазка швов рулонной кровли, примыканий к вентшахтам, выходам на кровлю в покрытиях из наплавляемого рулонного материала (над кв. №№ 29,45)</t>
  </si>
  <si>
    <t>кв.м</t>
  </si>
  <si>
    <t>Утепление чердачного перекрытия теплоизоляционным материалом над кв. № 73</t>
  </si>
  <si>
    <t>ОДН на водоотведение (сентябрь 2017г.)</t>
  </si>
  <si>
    <t>ОДН на водоотведение (октябрь 2017г.)</t>
  </si>
  <si>
    <t>"30" ноября 2017 года.</t>
  </si>
  <si>
    <t>ОДН на водоотведение (ноябрь 2017г.)</t>
  </si>
  <si>
    <t>ноябрь 2017г</t>
  </si>
  <si>
    <t>Промывка наружных сетей канализации</t>
  </si>
  <si>
    <t>Замена сливной трубки на лоджии кв. № 73, ремонт кровельного покрытия из наплавляемого рулонного материала лоджии кв. №№ 72,73;  прочистка сливных трубок на лоджии кв. №№ 45,74</t>
  </si>
  <si>
    <t>Герметизация межпанельных швов (вертикальных, горизонтальных) технического этажа над лоджией, ремонт кровельного покрытия из наплавляемого рулонного материала лоджии кв. № 15</t>
  </si>
  <si>
    <t xml:space="preserve">2. Всего за период с "01" ноября 2017 года по "30" ноября 2017 года выполнено работ (оказано услуг) по содержанию общего имущества и ремонту общего имущества на общую сумму 87783,11 рублей (восемьдесят семь тысяч семьсот восемьдесят три рубля  11 копеек) </t>
  </si>
  <si>
    <t>лоджия</t>
  </si>
  <si>
    <t xml:space="preserve">2. Всего за период с "01" октября 2017 года по "31" октября 2017 года выполнено работ (оказано услуг) по содержанию общего имущества и ремонту общего имущества на общую сумму 156657,36 рублей (сто пятьдесят шесть тысяч шестьсот пятьдесят семь рублей  36 копеек) </t>
  </si>
  <si>
    <t>приёмки оказанных услуг и  выполненных работ по содержанию и текущему ремонту общего имущества в многоквартирном доме</t>
  </si>
  <si>
    <t>АКТ  ГОДОВОЙ</t>
  </si>
  <si>
    <t>"31" декабря 2017 года.</t>
  </si>
  <si>
    <t>Благоустройство придомовой территории</t>
  </si>
  <si>
    <t>декабрь 2017г</t>
  </si>
  <si>
    <t xml:space="preserve">ОДН на водоотведение </t>
  </si>
  <si>
    <t>перерасчет в связи с изменением площади</t>
  </si>
  <si>
    <t xml:space="preserve">2. Всего за период с "01" декабря 2017 года по "31" декабря 2017 года выполнено работ (оказано услуг) по содержанию общего имущества и ремонту общего имущества на общую сумму 248689,37 рублей (двести сорок восемь тысяч шестьсот восемьдесят девять рублей  37 копеек) </t>
  </si>
  <si>
    <t>"31" января 2018 года.</t>
  </si>
  <si>
    <t>Услуги экскаватора-погрузчика по уборке снега придомовой территории</t>
  </si>
  <si>
    <t>январь 2018г.</t>
  </si>
  <si>
    <t>Замена аварийного участка стояка  ХВС кв №№ 16,19</t>
  </si>
  <si>
    <t>Регулировка доводчика, подъезд № 2</t>
  </si>
  <si>
    <t>СОДЕРЖАНИЕ ОБЩЕГО ИМУЩЕСТВА (обслуживаемая площадь - 4609,4 кв.м.)</t>
  </si>
  <si>
    <t>"28" февраля 2018 года.</t>
  </si>
  <si>
    <t xml:space="preserve">2. Всего за период с "01" января 2018 года по "31" января 2018 года выполнено работ (оказано услуг) по содержанию общего имущества и ремонту общего имущества на общую сумму 91773,56 рублей (девяносто одна тысяча семьсот семьдесят три рубля  56 копеек) </t>
  </si>
  <si>
    <t xml:space="preserve">2. Всего за период с "01" февраля 2018 года по "28" февраля 2018 года выполнено работ (оказано услуг) по содержанию общего имущества и ремонту общего имущества на общую сумму 74810,56 рублей (семьдесят четыре тысячи восемьсот десять рублей  56 копеек) </t>
  </si>
  <si>
    <t>У Е.М.</t>
  </si>
  <si>
    <t>"31" марта 2018 года.</t>
  </si>
  <si>
    <t>март 2018г.</t>
  </si>
  <si>
    <t>Установка дверного доводчика на дверь тамбура в подъезде № 5</t>
  </si>
  <si>
    <t xml:space="preserve">2. Всего за период с "01" марта 2018 года по "31" марта 2018 года выполнено работ (оказано услуг) по содержанию общего имущества и ремонту общего имущества на общую сумму 76572,56 рублей (семьдесят шесть тысяч пятьсот семьдесят два рубля  56 копеек) </t>
  </si>
  <si>
    <t>приёмки оказанных услуг и  выполненных работ по содержанию и текущему ремонту общего имущества в многоквартирном доме № 11 по ул. Бондарева</t>
  </si>
  <si>
    <t>"30" апреля 2018 года.</t>
  </si>
  <si>
    <t>апрель 2018г</t>
  </si>
  <si>
    <t xml:space="preserve">Ремонт металлической двери  (сварочные работы) подъезд № 3 </t>
  </si>
  <si>
    <t>Замена доводчика, подъезд № 2</t>
  </si>
  <si>
    <t xml:space="preserve">2. Всего за период с "01" апреля 2018 года по "30" апреля 2018 года выполнено работ (оказано услуг) по содержанию общего имущества и ремонту общего имущества на общую сумму 78171,56 рублей (семьдесят восемь тысяч сто семьдесят один рубль  56 копеек) </t>
  </si>
  <si>
    <t>"31" мая 2018 года.</t>
  </si>
  <si>
    <t>май 2018г</t>
  </si>
  <si>
    <t>Закрытие запирающимися устройствами эл. щитов на л/площадках в подъездах №№ 1,2,3,4,5,6</t>
  </si>
  <si>
    <t>Промывка канализационных  выпусков - 6 штук</t>
  </si>
  <si>
    <t xml:space="preserve">2. Всего за период с "01" мая 2018 года по "31" мая 2018 года выполнено работ (оказано услуг) по содержанию общего имущества и ремонту общего имущества на общую сумму 67231,22 рублей (шестьдесят семь тысяч двести тридцать один рубль  22 копейки) </t>
  </si>
  <si>
    <t>"30" июня 2018 года.</t>
  </si>
  <si>
    <t>июнь 2018г</t>
  </si>
  <si>
    <t>Замена аварийного участка стояка ХВС кв. №№ 32,35,38,41,44</t>
  </si>
  <si>
    <t xml:space="preserve">Промывка и опрессовка системы отопления (04.06.2018г;  05.06.2018г.) </t>
  </si>
  <si>
    <t xml:space="preserve">2. Всего за период с "01" июня 2018 года по "30" июня 2018 года выполнено работ (оказано услуг) по содержанию общего имущества и ремонту общего имущества на общую сумму 110754,22 рублей (сто десять тысяч семьсот пятьдесят четыре рубля  22 копейки) </t>
  </si>
  <si>
    <t>Выполнение работ по договору № 03/18-34 от 13.03.2018г  ООО "Агентство  Кадастра и Проектирования"</t>
  </si>
  <si>
    <t>"31" июля 2018 года.</t>
  </si>
  <si>
    <t>июль 2018г</t>
  </si>
  <si>
    <t>Установка дополнительных светодиодных светильников у досок объявления в подъездах №№ 1,2,3,4,5,6</t>
  </si>
  <si>
    <t>Очистка подвальных помещений (подъезд №№ 3,4) от крупногабаритного строительного мусора, вывоз и утилизация</t>
  </si>
  <si>
    <t>Собственники помещений в многоквартирном доме, расположенном по адресу: г. Сортавала ул. Бондарева  д. 11, именуемые в дальнейшем "Заказчик", в лице Васильева Сергея Николаевича, являющего собственником квартиры № 37, находящейся в данном многоквартирном доме, действующего на основании Протокола № 10 общего годового собрания собственников помещений в многоквартирном доме  от 06 июня 2018 года,  и ООО УК "Эталон"именуемое в дальнейшем "Исполнитель", в лице  директора Дмитриевой Натальи Константиновны, действующей на основании Устава с другой стороны, совместно именуемые "Стороны", составили настоящий Акт о нижеследующем:                                                                                                                                                                                              1. Исполнителем предъявлены к приёмке следующие оказанные на основании договора управления многоквартирным домом № Б-11/ 2015 на оказания услуг по содержанию и выполнению работ по ремонту общего имущества в многоквартирном доме   по ремонту общего имущества в многоквартирном доме от 01 марта 2015 года (далее "Договор" услуги и выполненные работы по содержанию и текущему ремонту общего имущества в многоквартирном доме № 11 расположенному по адресу:  г. Сортавала, ул. Бондарева:</t>
  </si>
  <si>
    <t xml:space="preserve">2. Всего за период с "01" июля 2018 года по "31" июля 2018 года выполнено работ (оказано услуг) по содержанию общего имущества и ремонту общего имущества на общую сумму 82262,95 рублей (восемьдесят две тысячи двести шестьдесят два рубля 95 копейки) </t>
  </si>
  <si>
    <t>"31" августа 2018 года.</t>
  </si>
  <si>
    <t xml:space="preserve">2. Всего за период с "01" августа 2018 года по "31" августа 2018 года выполнено работ (оказано услуг) по содержанию общего имущества и ремонту общего имущества на общую сумму 60198,76 рублей (шестьдесят тысяч сто девяносто восемь рублей 76 копеек) </t>
  </si>
  <si>
    <t>"30" сентября 2018 года.</t>
  </si>
  <si>
    <t>сентябрь 2018г</t>
  </si>
  <si>
    <t>Благоустройство придомовой территории  (планировка тер-и с добавлением ЩПС, установка бортовых камней с окраской)</t>
  </si>
  <si>
    <t xml:space="preserve">2. Всего за период с "01" сентября 2018 года по "30" сентября 2018 года выполнено работ (оказано услуг) по содержанию общего имущества и ремонту общего имущества на общую сумму 145893,20 рублей (сто сорок пять тысяч восемьсот девяносто три рубля 20 копеек) </t>
  </si>
  <si>
    <t>"31" октября 2018 года.</t>
  </si>
  <si>
    <t>октябрь 2018г</t>
  </si>
  <si>
    <t>Замена аварийного участка стояка ХВС кв. №№ 3,6,9</t>
  </si>
  <si>
    <t>Замена аварийных спускных кранов на системы ХВС в подвальных помещениях №№ 1,2,3,4,5,6</t>
  </si>
  <si>
    <t>Софинансирование детской игровой площадки</t>
  </si>
  <si>
    <t xml:space="preserve">2. Всего за период с "01" октября 2018 года по "31" октября 2018 года выполнено работ (оказано услуг) по содержанию общего имущества и ремонту общего имущества на общую сумму 237116,46 рублей (двести тридцать семь тысяч сто шестнадцать рублей 46 копеек) </t>
  </si>
  <si>
    <t>"30" ноября 2018 года.</t>
  </si>
  <si>
    <t xml:space="preserve">2. Всего за период с "01" ноября 2018 года по "30" ноября 2018 года выполнено работ (оказано услуг) по содержанию общего имущества и ремонту общего имущества на общую сумму 69371,47 рублей (шестьдесят девять тысяч стриста семьдесят один рубль 47 копеек) </t>
  </si>
  <si>
    <t>"31" декабря 2018 года.</t>
  </si>
  <si>
    <t>декабрь 2018г</t>
  </si>
  <si>
    <t>Ремонт кровельного покрытия из наплавляемого рулонного материала над кв. № 29</t>
  </si>
  <si>
    <t>Замена стояка ХВС кв. №№ 77,80,83,86,89</t>
  </si>
  <si>
    <t>Замена стояка ХВС кв. №№ 1,4,7,10,13</t>
  </si>
  <si>
    <t>Замена канализационного выпуска диам. 110 мм в подвальном помещении подъезда № 3</t>
  </si>
  <si>
    <t>АКТ   ГОДОВОЙ за 2018г</t>
  </si>
  <si>
    <t>"31" января 2019 года.</t>
  </si>
  <si>
    <t>январь 2019г</t>
  </si>
  <si>
    <t>Очистка придомовой территории от снега (услуга экскаватора-погрузчика) 10.01.2019г</t>
  </si>
  <si>
    <t>"28" февраля 2019 года.</t>
  </si>
  <si>
    <t>февраль 2019г</t>
  </si>
  <si>
    <t>Очистка придомовой территории от снега  (услуги минипогрузчика Mustang 2066) 11.02.2019г</t>
  </si>
  <si>
    <t xml:space="preserve">2. Всего за период с "01" января 2019 года по "31" января 2019 года выполнено работ (оказано услуг) по содержанию общего имущества и ремонту общего имущества на общую сумму 64469,58 рублей (шестьдесят четыре тысячи четыреста шестьдесят девять рублей 58 копеек) </t>
  </si>
  <si>
    <t>С 01.01.2018г - 30.06.2018г  - 3,57                    с 01.07.2018г - 31.12.2018г  - 3,68</t>
  </si>
  <si>
    <t>С 01.01.2018г - 30.06.2018г  - 2,07                    с 01.07.2018г - 31.12.2018г  - 2,13</t>
  </si>
  <si>
    <t>С 01.01.2018г - 30.06.2018г  - 2,23                    с 01.07.2018г - 31.12.2018г  - 2,85</t>
  </si>
  <si>
    <t>С 01.01.2018г - 30.06.2018г  - 2,17                    с 01.07.2018г - 31.12.2018г  - 2,63</t>
  </si>
  <si>
    <t>С 01.01.2018г - 30.06.2018г  - 0,84                    с 01.07.2018г - 31.12.2018г  - 1,02</t>
  </si>
  <si>
    <t>Сбор, вывоз  и  утилизация (январь - апрель 2018г)</t>
  </si>
  <si>
    <t>Итого:</t>
  </si>
  <si>
    <t xml:space="preserve">2. Всего за период с "01" декабря 2018 года по "31" декабря 2018 года выполнено работ (оказано услуг) по содержанию общего имущества и ремонту общего имущества на общую сумму 102530,54 рубля (сто две тысячи пятьсот тридцать рублей 54 копейки) </t>
  </si>
  <si>
    <t xml:space="preserve">2. Всего за период с "01" февраля 2019 года по "28" февраля 2019 года выполнено работ (оказано услуг) по содержанию общего имущества и ремонту общего имущества на общую сумму 65459,26 рублей (шестьдесят пять тысяч четыреста пятьдесят девять рублей 26 копеек) </t>
  </si>
  <si>
    <t>"31" марта 2019 года.</t>
  </si>
  <si>
    <t>Очистка придомовой территории от снега  (услуги минипогрузчика Mustang 2066) 19.03.2019г</t>
  </si>
  <si>
    <t>март 2019г</t>
  </si>
  <si>
    <t>Ремонт системы ПЗУ (обрыв провода) подъезд № 2</t>
  </si>
  <si>
    <t>"30" апреля 2019 года.</t>
  </si>
  <si>
    <t xml:space="preserve">2. Всего за период с "01" марта 2019 года по "31" марта 2019 года выполнено работ (оказано услуг) по содержанию общего имущества и ремонту общего имущества на общую сумму 64193,78 рублей (шестьдесят четыре тысячи сто девяносто три рубля 78 копеек) </t>
  </si>
  <si>
    <t>Замена аварийного участка стояка системы канализации диам. 100 мм в кв. № 79</t>
  </si>
  <si>
    <t>апрель 2019г.</t>
  </si>
  <si>
    <t xml:space="preserve">2. Всего за период с "01" апреля 2019 года по "30" апреля 2019 года выполнено работ (оказано услуг) по содержанию общего имущества и ремонту общего имущества на общую сумму 64950,05 рублей (шестьдесят четыре тысячи девятьсот пятьдесят рублей 05 копеек) </t>
  </si>
  <si>
    <t>"31" мая 2019 года.</t>
  </si>
  <si>
    <t>Замена стояка ХВС кв. №№ 76,79,82,85,88</t>
  </si>
  <si>
    <t xml:space="preserve">2. Всего за период с "01" мая 2019 года по "31" мая 2019 года выполнено работ (оказано услуг) по содержанию общего имущества и ремонту общего имущества на общую сумму 80597,80 рублей (восемьдесят тысяч пятьсот девяносто семь рублей 80 копеек) </t>
  </si>
  <si>
    <t>"30" июня 2019 года.</t>
  </si>
  <si>
    <t>май 2019г.</t>
  </si>
  <si>
    <t xml:space="preserve">                                                                                      Иванова Виктория  Александровна________________________________</t>
  </si>
  <si>
    <t>Собственники помещений в многоквартирном доме, расположенном по адресу: г. Сортавала ул. Бондарева  д. 11, именуемые в дальнейшем "Заказчик", в лице Ивановой Виктории Александровне, являющего собственником квартиры № 67, находящейся в данном многоквартирном доме, действующего на основании Протокола № 2 общего годового собрания собственников помещений в многоквартирном доме  от 23 мая 2019 года,  и ООО УК "Эталон"именуемое в дальнейшем "Исполнитель", в лице  директора Дмитриевой Натальи Константиновны, действующей на основании Устава с другой стороны, совместно именуемые "Стороны", составили настоящий Акт о нижеследующем:                                                                                                                                                                                              1. Исполнителем предъявлены к приёмке следующие оказанные на основании договора управления многоквартирным домом № Б-11/ 2015 на оказания услуг по содержанию и выполнению работ по ремонту общего имущества в многоквартирном доме   по ремонту общего имущества в многоквартирном доме от 01 марта 2015 года (далее "Договор" услуги и выполненные работы по содержанию и текущему ремонту общего имущества в многоквартирном доме № 11 расположенному по адресу:  г. Сортавала, ул. Бондарева:</t>
  </si>
  <si>
    <t xml:space="preserve">Промывка и опрессовка системы отопления (03.06.2019г;  04.06.2019г.) </t>
  </si>
  <si>
    <t>июнь 2019г.</t>
  </si>
  <si>
    <t>Сварочные работы (ремонт мусорного бака) подъезд № 5</t>
  </si>
  <si>
    <t>СОДЕРЖАНИЕ ОБЩЕГО ИМУЩЕСТВА (обслуживаемая площадь - 4609,2 кв.м.)</t>
  </si>
  <si>
    <t xml:space="preserve">2. Всего за период с "01" июня 2019 года по "30" июня 2019 года выполнено работ (оказано услуг) по содержанию общего имущества и ремонту общего имущества на общую сумму 72555,76 рублей (семьдесят две тысячи пятьсот пятьдесят пять рублей 76 копеек) </t>
  </si>
  <si>
    <t>"31" июля 2019 года.</t>
  </si>
  <si>
    <t>СОДЕРЖАНИЕ ОБЩЕГО ИМУЩЕСТВА (обслуживаемая площадь - 4608,6 кв.м.)</t>
  </si>
  <si>
    <t>"31" августа 2019 года.</t>
  </si>
  <si>
    <t>Ремонт межпанельных швов кв.№ 74</t>
  </si>
  <si>
    <t>август 2019г</t>
  </si>
  <si>
    <t xml:space="preserve">2. Всего за период с "01" августа 2019 года по "31" августа 2019 года выполнено работ (оказано услуг) по содержанию общего имущества и ремонту общего имущества на общую сумму 76906,01 рублей (семьдесят шесть тысяч девятьсот шесть рублей 01 копейка) </t>
  </si>
  <si>
    <t>"30" сентября 2019 года.</t>
  </si>
  <si>
    <t>сентябрь 2019г</t>
  </si>
  <si>
    <t>Промывка канализационных выпусков 6 штук ООО "Карелводоканал"</t>
  </si>
  <si>
    <t>Ремонт металлической двери, подъезд № 4 (сварочные работы)</t>
  </si>
  <si>
    <t>июль 2019г</t>
  </si>
  <si>
    <t xml:space="preserve">Составление локальных  смет для включения придомовой территории  в муниципальную программу "Комфортная городская среда" </t>
  </si>
  <si>
    <t xml:space="preserve">2. Всего за период с "01" июля 2019 года по "31" июля 2019 года выполнено работ (оказано услуг) по содержанию общего имущества и ремонту общего имущества на общую сумму 73414,27 рублей (семьдесят три тысячи четыреста  четырнадцать рублей 27 копеек) </t>
  </si>
  <si>
    <t xml:space="preserve">2. Всего за период с "01" сентября 2019 года по "30" сентября 2019 года выполнено работ (оказано услуг) по содержанию общего имущества и ремонту общего имущества на общую сумму 70858,86 рублей (семьдесят тысяч восемьсот пятьдесят восемь рублей 86 копеек) </t>
  </si>
  <si>
    <t>"31" октября 2019 года.</t>
  </si>
  <si>
    <t>Ремонт мусорного бака (сварочные работы), подъезд № 2</t>
  </si>
  <si>
    <t>октябрь 2019г</t>
  </si>
  <si>
    <t>"30" ноября 2019 года.</t>
  </si>
  <si>
    <t xml:space="preserve">2. Всего за период с "01" октября 2019 года по "31" октября 2019 года выполнено работ (оказано услуг) по содержанию общего имущества и ремонту общего имущества на общую сумму 74925,54 рублей (семьдесят четыре тысячи девятьсот двадцать пять рублей 54 копейки) </t>
  </si>
  <si>
    <t xml:space="preserve">2. Всего за период с "01" ноября 2019 года по "30" ноября 2019 года выполнено работ (оказано услуг) по содержанию общего имущества и ремонту общего имущества на общую сумму 76502,76 рублей (семьдесят шесть тысяч пятьсот два рубля 76 копеек) </t>
  </si>
  <si>
    <t>"31" декабря 2019 года.</t>
  </si>
  <si>
    <t>АКТ   ГОДОВОЙ за 2019г</t>
  </si>
  <si>
    <t>2 шт /узла</t>
  </si>
  <si>
    <t>С 01.01.2019г - 31.05.2019г  - 3,68                    с 01.06.2019г - 31.12.2019г  - 3,93</t>
  </si>
  <si>
    <t>С 01.01.2019г - 31.05.2019г  - 2,13                    с 01.06.2019г - 31.12.2019г  - 2,27</t>
  </si>
  <si>
    <t>С 01.01.2019г - 31.05.2019г  - 2,85                    с 01.06.2019г - 31.12.2019г  - 3,22</t>
  </si>
  <si>
    <t>СОДЕРЖАНИЕ ОБЩЕГО ИМУЩЕСТВА (обслуживаемая площадь - с 01.01.2019г - 30.06.2019г - 4609,4 кв.м. ;  с 01.07.2019г - 31.12.2019г - 4608,6кв.м.)</t>
  </si>
  <si>
    <t>С 01.01.2019г - 31.05.2019г  - 2,63                    с 01.06.2019г - 31.12.2019г  - 2,98</t>
  </si>
  <si>
    <t>С 01.01.2019г - 31.05.2019г  - 1,02                    с 01.06.2019г - 31.12.2019г  - 1,16</t>
  </si>
  <si>
    <t xml:space="preserve">2. Всего за период с "01" декабря 2019 года по "31" декабря 2019 года выполнено работ (оказано услуг) по содержанию общего имущества и ремонту общего имущества на общую сумму 66667,93 рублей (шестьдесят шесть тысяч шестьсот шестьдесят семь рублей 93 копейки) </t>
  </si>
  <si>
    <t>"31" января 2020 года.</t>
  </si>
  <si>
    <t>январь 2020г</t>
  </si>
  <si>
    <t xml:space="preserve">Работы по заделке межпанельных швов кв. № 30 </t>
  </si>
  <si>
    <t>"29"февраля 2020 года.</t>
  </si>
  <si>
    <t xml:space="preserve">2. Всего за период с "01" января 2020 года по "31" января 2020 года выполнено работ (оказано услуг) по содержанию общего имущества и ремонту общего имущества на общую сумму 74718,73 рублей (семьдесят четыре тысячи семьсот восемнадцать рублей 73 копейки) </t>
  </si>
  <si>
    <t xml:space="preserve">2. Всего за период с "01" февраля 2020 года по "29" февраля 2020 года выполнено работ (оказано услуг) по содержанию общего имущества и ремонту общего имущества на общую сумму 63091,73 рублей (шестьдесят три тысячи девяносто один рубль 73 копейки) </t>
  </si>
  <si>
    <t>"31"марта 2020 года.</t>
  </si>
  <si>
    <t xml:space="preserve">2. Всего за период с "01" марта 2020 года по "31" марта 2020 года выполнено работ (оказано услуг) по содержанию общего имущества и ремонту общего имущества на общую сумму 63091,73 рублей (шестьдесят три тысячи девяносто один рубль 73 копейки) </t>
  </si>
  <si>
    <t>"30"апреля 2020 года.</t>
  </si>
  <si>
    <t>Выполнение кадастровых работ (Акт кадастра и права)</t>
  </si>
  <si>
    <t>апрель 2020г</t>
  </si>
  <si>
    <t xml:space="preserve">2. Всего за период с "01" апреля 2020 года по "30" апреля 2020 года выполнено работ (оказано услуг) по содержанию общего имущества и ремонту общего имущества на общую сумму 70791,73 рублей (семьдесят тысяч семьсот девяносто один рубль 73 копейки) </t>
  </si>
  <si>
    <t>"31"мая 2020 года.</t>
  </si>
  <si>
    <t>май 2020г</t>
  </si>
  <si>
    <t>Замена аварийного участка стояка ХВС кв. №№ 71,74</t>
  </si>
  <si>
    <t>"30"июня 2020 года.</t>
  </si>
  <si>
    <t>Промывка и опрессовка системы отопления (04.06.2020г)</t>
  </si>
  <si>
    <t xml:space="preserve">2. Всего за период с "01" мая 2020 года по "31" мая 2020 года выполнено работ (оказано услуг) по содержанию общего имущества и ремонту общего имущества на общую сумму 67568,73 рублей (шестьдесят семь тысяч пятьсот шестьдесят восемь рублей 73 копейки) </t>
  </si>
  <si>
    <t>июнь 2020г</t>
  </si>
  <si>
    <t>Промывка канализационных выпусков (ООО "Карелводоканал")</t>
  </si>
  <si>
    <t>2  узла</t>
  </si>
  <si>
    <t>Замена замка (подвальное помещение) подъезд № 2</t>
  </si>
  <si>
    <t xml:space="preserve">   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</si>
  <si>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</si>
  <si>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31.05.2020г.</t>
  </si>
  <si>
    <r>
      <t xml:space="preserve">                                                                    2195,36                       </t>
    </r>
    <r>
      <rPr>
        <sz val="11"/>
        <color theme="0"/>
        <rFont val="Calibri"/>
        <family val="2"/>
        <charset val="204"/>
        <scheme val="minor"/>
      </rPr>
      <t xml:space="preserve">536      </t>
    </r>
    <r>
      <rPr>
        <sz val="11"/>
        <color theme="1"/>
        <rFont val="Calibri"/>
        <family val="2"/>
        <charset val="204"/>
        <scheme val="minor"/>
      </rPr>
      <t xml:space="preserve">               4                            8                           8</t>
    </r>
  </si>
  <si>
    <r>
      <t xml:space="preserve">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л                                                                                                                                                                              шт                                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</si>
  <si>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</si>
  <si>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r>
      <t xml:space="preserve">                                                                    2195,36                       </t>
    </r>
    <r>
      <rPr>
        <sz val="11"/>
        <color theme="0"/>
        <rFont val="Calibri"/>
        <family val="2"/>
        <charset val="204"/>
        <scheme val="minor"/>
      </rPr>
      <t xml:space="preserve">536      </t>
    </r>
    <r>
      <rPr>
        <sz val="11"/>
        <color theme="1"/>
        <rFont val="Calibri"/>
        <family val="2"/>
        <charset val="204"/>
        <scheme val="minor"/>
      </rPr>
      <t xml:space="preserve">               6                           11                         11</t>
    </r>
  </si>
  <si>
    <t>в период с 01.06.2020г по 18.06.2020г</t>
  </si>
  <si>
    <t xml:space="preserve">2. Всего за период с "01" июня 2020 года по "30" июня 2020 года выполнено работ (оказано услуг) по содержанию общего имущества и ремонту общего имущества на общую сумму 73848,73 рублей (семьдесят три тысячи восемьсот сорок  восемь рублей 73 копейки) </t>
  </si>
  <si>
    <t>"31"июля 2020 года.</t>
  </si>
  <si>
    <t>июль 2020г.</t>
  </si>
  <si>
    <t>Ремонт бетонных спусков мусорокамер подъездов №№ 1,2,3,4,5,6</t>
  </si>
  <si>
    <t>Ремонт металлической двери (подъезд № 6)</t>
  </si>
  <si>
    <t xml:space="preserve">2. Всего за период с "01" июля 2020 года по "31" июля 2020 года выполнено работ (оказано услуг) по содержанию общего имущества и ремонту общего имущества на общую сумму 77225,73 рублей (семьдесят семь тысяч двести двадцать пять рублей 73 копейки) </t>
  </si>
  <si>
    <t>"31" августа 2020 года.</t>
  </si>
  <si>
    <t>август 2020г.</t>
  </si>
  <si>
    <t>Изготовление мусорного бака на колесах</t>
  </si>
  <si>
    <t>Замена общедомовых приборов учета холодного водоснабжения (водомеров диам. 32 мм)</t>
  </si>
  <si>
    <t xml:space="preserve">2. Всего за период с "01" августа 2020 года по "31" августа 2020 года выполнено работ (оказано услуг) по содержанию общего имущества и ремонту общего имущества на общую сумму 90903,73 рублей (девяносто тысяч девятьсот три рубля 73 копейки) </t>
  </si>
  <si>
    <t>"30" сентября 2020 года.</t>
  </si>
  <si>
    <t>Изготовление мусорного бака на колесах (подъезд № 1)</t>
  </si>
  <si>
    <t>сентябрь 2020г.</t>
  </si>
  <si>
    <t>Демонтаж пакетных выключателей и установка автомотов на 40А до эл. счетчика в этажном щите Кв.№№ 69,70,71</t>
  </si>
  <si>
    <t>Замена аварийного участка стояка системы канализации диам. 100 мм с подвального помещения до кв. № 77</t>
  </si>
  <si>
    <t>Замена аварийного участка стояка системы канализации диам. 50 мм (кухонный стояк в шахте) подъезд № 5</t>
  </si>
  <si>
    <t>Планировка придомовой территории (стоянка)  доставка ЩПС (0-20)</t>
  </si>
  <si>
    <t>тн</t>
  </si>
  <si>
    <t>Услуги экскаватора-погрузчика CASE 580Т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</si>
  <si>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</si>
  <si>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"31" октября 2020 года.</t>
  </si>
  <si>
    <t>Земена стояка ХВС кв. №№ 77,80,83,86,89</t>
  </si>
  <si>
    <t>октябрь 2020г</t>
  </si>
  <si>
    <t xml:space="preserve">2. Всего за период с "01" октября 2020 года по "31" октября 2020 года выполнено работ (оказано услуг) по содержанию общего имущества и ремонту общего имущества на общую сумму 80011,73 рублей (восемьдесят тысяч одиннадцать рублей 73 копейки) </t>
  </si>
  <si>
    <t>"30" ноября 2020 года.</t>
  </si>
  <si>
    <t>ноябрь 2020г</t>
  </si>
  <si>
    <t>Установка дверной ручки (сварочные работы) подъезд № 6</t>
  </si>
  <si>
    <t xml:space="preserve">2. Всего за период с "01" сентября 2020 года по "30" сентября 2020 года выполнено работ (оказано услуг) по содержанию общего имущества и ремонту общего имущества на общую сумму 136379,73 рублей (сто тридцать шесть тысяч триста семьдесят девять рублей 73 копейки) </t>
  </si>
  <si>
    <t>Завоз и планировка щебня на придомовой территории (вход в подвал № 1, под балконами со стороны подъездов)</t>
  </si>
  <si>
    <t>"31" декабря 2020 года.</t>
  </si>
  <si>
    <t>Замена аварийного участка стояка ХВС Кв № 21</t>
  </si>
  <si>
    <t>декабрь 2020г</t>
  </si>
  <si>
    <t>Замена светодиодного светильника подъезд № 2 ( у доски объявления)</t>
  </si>
  <si>
    <t>ноябрь 2020г.</t>
  </si>
  <si>
    <r>
      <t xml:space="preserve">                                                                    2195,36                       </t>
    </r>
    <r>
      <rPr>
        <sz val="11"/>
        <color theme="0"/>
        <rFont val="Calibri"/>
        <family val="2"/>
        <charset val="204"/>
        <scheme val="minor"/>
      </rPr>
      <t xml:space="preserve">536      </t>
    </r>
    <r>
      <rPr>
        <sz val="11"/>
        <color theme="1"/>
        <rFont val="Calibri"/>
        <family val="2"/>
        <charset val="204"/>
        <scheme val="minor"/>
      </rPr>
      <t xml:space="preserve">               9                            14                          14</t>
    </r>
  </si>
  <si>
    <t xml:space="preserve">2. Всего за период с "01" ноября 2020 года по "30" ноября 2020 года выполнено работ (оказано услуг) по содержанию общего имущества и ремонту общего имущества на общую сумму 74942,73 рублей (семьдесят четыре тысячи девятьсот сорок два рубля 73 копейки) </t>
  </si>
  <si>
    <t>АКТ  ГОДОВОЙ за 2020г</t>
  </si>
  <si>
    <t>"31" января 2021 года.</t>
  </si>
  <si>
    <r>
      <t xml:space="preserve">2195,36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4 л                                                                                                                                                                              8 шт                                 8 шт                                           </t>
    </r>
  </si>
  <si>
    <r>
      <t xml:space="preserve">2195,36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6 л                                                                                                                                                                              11 шт                                 11 шт                                           </t>
    </r>
  </si>
  <si>
    <r>
      <t xml:space="preserve">2195,36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9 л                                                                                                                                                                              14 шт                                 14 шт                                           </t>
    </r>
  </si>
  <si>
    <t xml:space="preserve">2. Всего за период с "01" декабря 2020 года по "31" декабря 2020 года выполнено работ (оказано услуг) по содержанию общего имущества и ремонту общего имущества на общую сумму 69299,30 рублей (шестьдесят девять тысяч двести девяносто девять рублей 30 копеек) </t>
  </si>
  <si>
    <t>Замена аварийного участка стояка системы канализации диам. 100 мм кв. №№ 17,20</t>
  </si>
  <si>
    <t>январь 2021г</t>
  </si>
  <si>
    <t>Замена аварийного участка стояка системы канализации диам. 100 мм кв. №№ 9,12</t>
  </si>
  <si>
    <t xml:space="preserve">Очистка придомовой территории от снега спец. техникой </t>
  </si>
  <si>
    <t>Установка дверной ручки (подъезд № 6)</t>
  </si>
  <si>
    <t>Замена доводчика в подъезде № 3</t>
  </si>
  <si>
    <t xml:space="preserve">2. Всего за период с "01" января 2021 года по "31" января 2021 года выполнено работ (оказано услуг) по содержанию общего имущества и ремонту общего имущества на общую сумму 84020,73 рублей (восемьдесят четыре тысячи двадцать рублей 73 копейки) </t>
  </si>
  <si>
    <t>"28" февраля 2021 года.</t>
  </si>
  <si>
    <t>февраль 2021г</t>
  </si>
  <si>
    <t>Установка доводчика в подъезда № 3  (тамбур)</t>
  </si>
  <si>
    <t xml:space="preserve">2. Всего за период с "01" февраля 2021 года по "28" февраля 2021 года выполнено работ (оказано услуг) по содержанию общего имущества и ремонту общего имущества на общую сумму 69683,73 рублей (шестьдесят девять тысяч шестьсот восемьдесят три рубля 73 копейки) </t>
  </si>
  <si>
    <t>"31"марта 2021 года.</t>
  </si>
  <si>
    <t xml:space="preserve">2. Всего за период с "01" марта 2021 года по "31" марта 2021 года выполнено работ (оказано услуг) по содержанию общего имущества и ремонту общего имущества на общую сумму 69683,73 рублей (шестьдесят девять тысяч шестьсот восемьдесят три рубля 73 копейки) </t>
  </si>
  <si>
    <t>Замена доводчика в подъезде № 1  (входная дверь)</t>
  </si>
  <si>
    <t>март 2021г</t>
  </si>
  <si>
    <t>Изготовление и установка новых пластиковых досок для размещения информации в подъезды №№ 1,2,3,4,5,6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</si>
</sst>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distributed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workbookViewId="0">
      <selection activeCell="E45" sqref="E4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"/>
      <c r="E4" s="1" t="s">
        <v>2</v>
      </c>
      <c r="F4" s="1"/>
    </row>
    <row r="6" spans="1:9" ht="175.5" customHeight="1" x14ac:dyDescent="0.3">
      <c r="A6" s="222" t="s">
        <v>69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6" customHeight="1" x14ac:dyDescent="0.3">
      <c r="A10" s="8" t="s">
        <v>68</v>
      </c>
      <c r="B10" s="9" t="s">
        <v>12</v>
      </c>
      <c r="C10" s="217" t="s">
        <v>44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6">
        <v>2.17</v>
      </c>
      <c r="F12" s="6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6">
        <v>0.84</v>
      </c>
      <c r="F13" s="6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2">
        <v>0.13</v>
      </c>
      <c r="F14" s="12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2">
        <v>0.04</v>
      </c>
      <c r="F15" s="12">
        <f t="shared" si="0"/>
        <v>183.67959999999999</v>
      </c>
    </row>
    <row r="16" spans="1:9" ht="28.8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17279.169999999998</v>
      </c>
    </row>
    <row r="18" spans="1:6" x14ac:dyDescent="0.3">
      <c r="A18" s="14" t="s">
        <v>20</v>
      </c>
      <c r="B18" s="15"/>
      <c r="C18" s="15"/>
      <c r="D18" s="16"/>
      <c r="E18" s="17"/>
      <c r="F18" s="18">
        <f>SUM(F9:F17)</f>
        <v>69168.657000000007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08.75" customHeight="1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28.8" x14ac:dyDescent="0.3">
      <c r="A21" s="22" t="s">
        <v>51</v>
      </c>
      <c r="B21" s="5" t="s">
        <v>18</v>
      </c>
      <c r="C21" s="5" t="s">
        <v>27</v>
      </c>
      <c r="D21" s="23">
        <v>5</v>
      </c>
      <c r="E21" s="30">
        <f>F21/D21</f>
        <v>1279</v>
      </c>
      <c r="F21" s="5">
        <v>6395</v>
      </c>
    </row>
    <row r="22" spans="1:6" ht="57.6" x14ac:dyDescent="0.3">
      <c r="A22" s="22" t="s">
        <v>52</v>
      </c>
      <c r="B22" s="5" t="s">
        <v>18</v>
      </c>
      <c r="C22" s="5" t="s">
        <v>53</v>
      </c>
      <c r="D22" s="23">
        <v>1.002</v>
      </c>
      <c r="E22" s="30">
        <f>F22/D22</f>
        <v>3169.6606786427146</v>
      </c>
      <c r="F22" s="5">
        <v>3176</v>
      </c>
    </row>
    <row r="23" spans="1:6" ht="43.2" x14ac:dyDescent="0.3">
      <c r="A23" s="22" t="s">
        <v>22</v>
      </c>
      <c r="B23" s="5" t="s">
        <v>18</v>
      </c>
      <c r="C23" s="5" t="s">
        <v>28</v>
      </c>
      <c r="D23" s="23">
        <v>1.167</v>
      </c>
      <c r="E23" s="6">
        <v>1650</v>
      </c>
      <c r="F23" s="30">
        <v>1925</v>
      </c>
    </row>
    <row r="24" spans="1:6" x14ac:dyDescent="0.3">
      <c r="A24" s="22" t="s">
        <v>21</v>
      </c>
      <c r="B24" s="5"/>
      <c r="C24" s="5"/>
      <c r="D24" s="5"/>
      <c r="E24" s="6"/>
      <c r="F24" s="30">
        <f>SUM(F21:F23)</f>
        <v>11496</v>
      </c>
    </row>
    <row r="25" spans="1:6" ht="15" x14ac:dyDescent="0.25">
      <c r="A25" s="20"/>
      <c r="B25" s="27"/>
      <c r="C25" s="27"/>
      <c r="D25" s="27"/>
      <c r="E25" s="28"/>
      <c r="F25" s="27"/>
    </row>
    <row r="26" spans="1:6" ht="48.75" customHeight="1" x14ac:dyDescent="0.3">
      <c r="A26" s="230" t="s">
        <v>71</v>
      </c>
      <c r="B26" s="230"/>
      <c r="C26" s="230"/>
      <c r="D26" s="230"/>
      <c r="E26" s="230"/>
      <c r="F26" s="230"/>
    </row>
    <row r="27" spans="1:6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6" x14ac:dyDescent="0.3">
      <c r="A28" s="232" t="s">
        <v>8</v>
      </c>
      <c r="B28" s="232"/>
      <c r="C28" s="232"/>
      <c r="D28" s="232"/>
      <c r="E28" s="232"/>
      <c r="F28" s="232"/>
    </row>
    <row r="29" spans="1:6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6" ht="15" x14ac:dyDescent="0.25">
      <c r="A30" s="19"/>
      <c r="B30" s="19"/>
      <c r="C30" s="19"/>
      <c r="D30" s="19"/>
      <c r="E30" s="19"/>
      <c r="F30" s="19"/>
    </row>
    <row r="31" spans="1:6" x14ac:dyDescent="0.3">
      <c r="A31" s="4"/>
      <c r="B31" s="4" t="s">
        <v>10</v>
      </c>
      <c r="C31" s="4"/>
      <c r="D31" s="4"/>
      <c r="E31" s="4"/>
      <c r="F31" s="4"/>
    </row>
    <row r="32" spans="1:6" ht="15" x14ac:dyDescent="0.25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ht="15" x14ac:dyDescent="0.25">
      <c r="A34" s="19"/>
      <c r="B34" s="19"/>
      <c r="C34" s="19"/>
      <c r="D34" s="19"/>
      <c r="E34" s="19"/>
      <c r="F34" s="19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8" spans="1:6" ht="15" x14ac:dyDescent="0.25">
      <c r="A38" s="2"/>
    </row>
  </sheetData>
  <mergeCells count="23">
    <mergeCell ref="A35:F35"/>
    <mergeCell ref="A36:F36"/>
    <mergeCell ref="A8:F8"/>
    <mergeCell ref="A19:F19"/>
    <mergeCell ref="A26:F26"/>
    <mergeCell ref="A27:F27"/>
    <mergeCell ref="A28:F28"/>
    <mergeCell ref="A29:F29"/>
    <mergeCell ref="A33:F33"/>
    <mergeCell ref="C9:D9"/>
    <mergeCell ref="C11:D11"/>
    <mergeCell ref="C17:D17"/>
    <mergeCell ref="C12:D12"/>
    <mergeCell ref="C14:D14"/>
    <mergeCell ref="C15:D15"/>
    <mergeCell ref="C10:D10"/>
    <mergeCell ref="C16:D16"/>
    <mergeCell ref="A1:I1"/>
    <mergeCell ref="A2:I2"/>
    <mergeCell ref="A4:B4"/>
    <mergeCell ref="A6:I6"/>
    <mergeCell ref="C7:D7"/>
    <mergeCell ref="C13:D13"/>
  </mergeCells>
  <pageMargins left="0.82677165354330717" right="0.23622047244094491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36" sqref="A1:I3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47"/>
      <c r="E4" s="1" t="s">
        <v>112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43.2" x14ac:dyDescent="0.3">
      <c r="A21" s="22" t="s">
        <v>113</v>
      </c>
      <c r="B21" s="24" t="s">
        <v>114</v>
      </c>
      <c r="C21" s="24" t="s">
        <v>47</v>
      </c>
      <c r="D21" s="48">
        <v>1</v>
      </c>
      <c r="E21" s="49">
        <f>F21/D21</f>
        <v>660</v>
      </c>
      <c r="F21" s="24">
        <v>660</v>
      </c>
    </row>
    <row r="22" spans="1:6" ht="151.5" customHeight="1" x14ac:dyDescent="0.3">
      <c r="A22" s="22" t="s">
        <v>115</v>
      </c>
      <c r="B22" s="24" t="s">
        <v>114</v>
      </c>
      <c r="C22" s="24" t="s">
        <v>123</v>
      </c>
      <c r="D22" s="48">
        <v>2</v>
      </c>
      <c r="E22" s="49">
        <f>F22/D22</f>
        <v>15349</v>
      </c>
      <c r="F22" s="24">
        <v>30698</v>
      </c>
    </row>
    <row r="23" spans="1:6" x14ac:dyDescent="0.3">
      <c r="A23" s="41"/>
      <c r="B23" s="41"/>
      <c r="C23" s="41"/>
      <c r="D23" s="41"/>
      <c r="E23" s="41"/>
      <c r="F23" s="41"/>
    </row>
    <row r="24" spans="1:6" ht="32.25" customHeight="1" x14ac:dyDescent="0.3">
      <c r="A24" s="22" t="s">
        <v>21</v>
      </c>
      <c r="B24" s="5"/>
      <c r="C24" s="5"/>
      <c r="D24" s="5"/>
      <c r="E24" s="6"/>
      <c r="F24" s="30">
        <f>F21+F22</f>
        <v>31358</v>
      </c>
    </row>
    <row r="25" spans="1:6" ht="47.25" customHeight="1" x14ac:dyDescent="0.3">
      <c r="A25" s="230" t="s">
        <v>116</v>
      </c>
      <c r="B25" s="230"/>
      <c r="C25" s="230"/>
      <c r="D25" s="230"/>
      <c r="E25" s="230"/>
      <c r="F25" s="230"/>
    </row>
    <row r="26" spans="1:6" ht="30" customHeight="1" x14ac:dyDescent="0.3">
      <c r="A26" s="231" t="s">
        <v>7</v>
      </c>
      <c r="B26" s="231"/>
      <c r="C26" s="231"/>
      <c r="D26" s="231"/>
      <c r="E26" s="231"/>
      <c r="F26" s="231"/>
    </row>
    <row r="27" spans="1:6" x14ac:dyDescent="0.3">
      <c r="A27" s="232" t="s">
        <v>8</v>
      </c>
      <c r="B27" s="232"/>
      <c r="C27" s="232"/>
      <c r="D27" s="232"/>
      <c r="E27" s="232"/>
      <c r="F27" s="232"/>
    </row>
    <row r="28" spans="1:6" ht="30" customHeight="1" x14ac:dyDescent="0.3">
      <c r="A28" s="231" t="s">
        <v>9</v>
      </c>
      <c r="B28" s="231"/>
      <c r="C28" s="231"/>
      <c r="D28" s="231"/>
      <c r="E28" s="231"/>
      <c r="F28" s="231"/>
    </row>
    <row r="29" spans="1:6" x14ac:dyDescent="0.3">
      <c r="A29" s="46"/>
      <c r="B29" s="46"/>
      <c r="C29" s="46"/>
      <c r="D29" s="46"/>
      <c r="E29" s="46"/>
      <c r="F29" s="46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ht="13.5" customHeight="1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46"/>
      <c r="B33" s="46"/>
      <c r="C33" s="46"/>
      <c r="D33" s="46"/>
      <c r="E33" s="46"/>
      <c r="F33" s="46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47"/>
    </row>
    <row r="38" spans="1:6" x14ac:dyDescent="0.3">
      <c r="A38" s="47"/>
    </row>
  </sheetData>
  <mergeCells count="23">
    <mergeCell ref="A32:F32"/>
    <mergeCell ref="A34:F34"/>
    <mergeCell ref="A35:F35"/>
    <mergeCell ref="C16:D16"/>
    <mergeCell ref="C17:D17"/>
    <mergeCell ref="A19:F19"/>
    <mergeCell ref="A25:F25"/>
    <mergeCell ref="A26:F26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A28:F28"/>
    <mergeCell ref="A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35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55"/>
      <c r="E4" s="1" t="s">
        <v>117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28.8" x14ac:dyDescent="0.3">
      <c r="A21" s="22" t="s">
        <v>118</v>
      </c>
      <c r="B21" s="24" t="s">
        <v>119</v>
      </c>
      <c r="C21" s="24" t="s">
        <v>47</v>
      </c>
      <c r="D21" s="48">
        <v>2</v>
      </c>
      <c r="E21" s="49">
        <f>F21/D21</f>
        <v>440</v>
      </c>
      <c r="F21" s="24">
        <v>880</v>
      </c>
    </row>
    <row r="22" spans="1:6" ht="57.6" x14ac:dyDescent="0.3">
      <c r="A22" s="22" t="s">
        <v>120</v>
      </c>
      <c r="B22" s="24" t="s">
        <v>119</v>
      </c>
      <c r="C22" s="24" t="s">
        <v>47</v>
      </c>
      <c r="D22" s="48">
        <v>2</v>
      </c>
      <c r="E22" s="49">
        <f>F22/D22</f>
        <v>2757</v>
      </c>
      <c r="F22" s="24">
        <v>5514</v>
      </c>
    </row>
    <row r="23" spans="1:6" ht="72" x14ac:dyDescent="0.3">
      <c r="A23" s="50" t="s">
        <v>121</v>
      </c>
      <c r="B23" s="48" t="s">
        <v>119</v>
      </c>
      <c r="C23" s="48" t="s">
        <v>27</v>
      </c>
      <c r="D23" s="48">
        <v>6</v>
      </c>
      <c r="E23" s="53">
        <f>F23/D23</f>
        <v>1203.3333333333333</v>
      </c>
      <c r="F23" s="48">
        <v>7220</v>
      </c>
    </row>
    <row r="24" spans="1:6" x14ac:dyDescent="0.3">
      <c r="A24" s="41"/>
      <c r="B24" s="41"/>
      <c r="C24" s="41"/>
      <c r="D24" s="41"/>
      <c r="E24" s="41"/>
      <c r="F24" s="41"/>
    </row>
    <row r="25" spans="1:6" x14ac:dyDescent="0.3">
      <c r="A25" s="22" t="s">
        <v>21</v>
      </c>
      <c r="B25" s="5"/>
      <c r="C25" s="5"/>
      <c r="D25" s="5"/>
      <c r="E25" s="6"/>
      <c r="F25" s="30">
        <f>F21+F22+F23</f>
        <v>13614</v>
      </c>
    </row>
    <row r="26" spans="1:6" ht="48.75" customHeight="1" x14ac:dyDescent="0.3">
      <c r="A26" s="230" t="s">
        <v>122</v>
      </c>
      <c r="B26" s="230"/>
      <c r="C26" s="230"/>
      <c r="D26" s="230"/>
      <c r="E26" s="230"/>
      <c r="F26" s="230"/>
    </row>
    <row r="27" spans="1:6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6" x14ac:dyDescent="0.3">
      <c r="A28" s="232" t="s">
        <v>8</v>
      </c>
      <c r="B28" s="232"/>
      <c r="C28" s="232"/>
      <c r="D28" s="232"/>
      <c r="E28" s="232"/>
      <c r="F28" s="232"/>
    </row>
    <row r="29" spans="1:6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6" x14ac:dyDescent="0.3">
      <c r="A30" s="54"/>
      <c r="B30" s="54"/>
      <c r="C30" s="54"/>
      <c r="D30" s="54"/>
      <c r="E30" s="54"/>
      <c r="F30" s="54"/>
    </row>
    <row r="31" spans="1:6" x14ac:dyDescent="0.3">
      <c r="A31" s="4"/>
      <c r="B31" s="4" t="s">
        <v>10</v>
      </c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54"/>
      <c r="B34" s="54"/>
      <c r="C34" s="54"/>
      <c r="D34" s="54"/>
      <c r="E34" s="54"/>
      <c r="F34" s="54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55"/>
    </row>
    <row r="39" spans="1:6" x14ac:dyDescent="0.3">
      <c r="A39" s="55"/>
    </row>
  </sheetData>
  <mergeCells count="23">
    <mergeCell ref="C16:D16"/>
    <mergeCell ref="C17:D17"/>
    <mergeCell ref="A19:F19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A36:F36"/>
    <mergeCell ref="A26:F26"/>
    <mergeCell ref="A27:F27"/>
    <mergeCell ref="A28:F28"/>
    <mergeCell ref="A29:F29"/>
    <mergeCell ref="A33:F33"/>
    <mergeCell ref="A35:F3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34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56"/>
      <c r="E4" s="1" t="s">
        <v>124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28.8" x14ac:dyDescent="0.3">
      <c r="A21" s="22" t="s">
        <v>126</v>
      </c>
      <c r="B21" s="24" t="s">
        <v>125</v>
      </c>
      <c r="C21" s="24" t="s">
        <v>28</v>
      </c>
      <c r="D21" s="48">
        <v>1</v>
      </c>
      <c r="E21" s="49">
        <f>F21/D21</f>
        <v>1650</v>
      </c>
      <c r="F21" s="24">
        <v>1650</v>
      </c>
    </row>
    <row r="22" spans="1:6" ht="43.2" x14ac:dyDescent="0.3">
      <c r="A22" s="22" t="s">
        <v>127</v>
      </c>
      <c r="B22" s="24" t="s">
        <v>125</v>
      </c>
      <c r="C22" s="24" t="s">
        <v>47</v>
      </c>
      <c r="D22" s="48">
        <v>2</v>
      </c>
      <c r="E22" s="49">
        <f>F22/D22</f>
        <v>3372</v>
      </c>
      <c r="F22" s="24">
        <v>6744</v>
      </c>
    </row>
    <row r="23" spans="1:6" ht="57.6" x14ac:dyDescent="0.3">
      <c r="A23" s="50" t="s">
        <v>128</v>
      </c>
      <c r="B23" s="48" t="s">
        <v>125</v>
      </c>
      <c r="C23" s="48" t="s">
        <v>27</v>
      </c>
      <c r="D23" s="48">
        <v>74</v>
      </c>
      <c r="E23" s="53">
        <f>F23/D23</f>
        <v>216.45945945945945</v>
      </c>
      <c r="F23" s="48">
        <v>16018</v>
      </c>
    </row>
    <row r="24" spans="1:6" x14ac:dyDescent="0.3">
      <c r="A24" s="41"/>
      <c r="B24" s="41"/>
      <c r="C24" s="41"/>
      <c r="D24" s="41"/>
      <c r="E24" s="41"/>
      <c r="F24" s="41"/>
    </row>
    <row r="25" spans="1:6" x14ac:dyDescent="0.3">
      <c r="A25" s="22" t="s">
        <v>21</v>
      </c>
      <c r="B25" s="5"/>
      <c r="C25" s="5"/>
      <c r="D25" s="5"/>
      <c r="E25" s="6"/>
      <c r="F25" s="30">
        <f>F21+F22+F23</f>
        <v>24412</v>
      </c>
    </row>
    <row r="26" spans="1:6" ht="48.75" customHeight="1" x14ac:dyDescent="0.3">
      <c r="A26" s="230" t="s">
        <v>129</v>
      </c>
      <c r="B26" s="230"/>
      <c r="C26" s="230"/>
      <c r="D26" s="230"/>
      <c r="E26" s="230"/>
      <c r="F26" s="230"/>
    </row>
    <row r="27" spans="1:6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6" x14ac:dyDescent="0.3">
      <c r="A28" s="232" t="s">
        <v>8</v>
      </c>
      <c r="B28" s="232"/>
      <c r="C28" s="232"/>
      <c r="D28" s="232"/>
      <c r="E28" s="232"/>
      <c r="F28" s="232"/>
    </row>
    <row r="29" spans="1:6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6" x14ac:dyDescent="0.3">
      <c r="A30" s="57"/>
      <c r="B30" s="57"/>
      <c r="C30" s="57"/>
      <c r="D30" s="57"/>
      <c r="E30" s="57"/>
      <c r="F30" s="57"/>
    </row>
    <row r="31" spans="1:6" x14ac:dyDescent="0.3">
      <c r="A31" s="4"/>
      <c r="B31" s="4" t="s">
        <v>10</v>
      </c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57"/>
      <c r="B34" s="57"/>
      <c r="C34" s="57"/>
      <c r="D34" s="57"/>
      <c r="E34" s="57"/>
      <c r="F34" s="57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56"/>
    </row>
    <row r="39" spans="1:6" x14ac:dyDescent="0.3">
      <c r="A39" s="56"/>
    </row>
  </sheetData>
  <mergeCells count="23">
    <mergeCell ref="C13:D13"/>
    <mergeCell ref="C14:D14"/>
    <mergeCell ref="C15:D15"/>
    <mergeCell ref="A8:F8"/>
    <mergeCell ref="C9:D9"/>
    <mergeCell ref="C10:D10"/>
    <mergeCell ref="C11:D11"/>
    <mergeCell ref="C12:D12"/>
    <mergeCell ref="A1:I1"/>
    <mergeCell ref="A2:I2"/>
    <mergeCell ref="A4:B4"/>
    <mergeCell ref="A6:I6"/>
    <mergeCell ref="C7:D7"/>
    <mergeCell ref="A36:F36"/>
    <mergeCell ref="C16:D16"/>
    <mergeCell ref="C17:D17"/>
    <mergeCell ref="A19:F19"/>
    <mergeCell ref="A29:F29"/>
    <mergeCell ref="A33:F33"/>
    <mergeCell ref="A35:F35"/>
    <mergeCell ref="A26:F26"/>
    <mergeCell ref="A27:F27"/>
    <mergeCell ref="A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7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58"/>
      <c r="E4" s="1" t="s">
        <v>130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6" ht="16.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0.53500000000000003</v>
      </c>
      <c r="F17" s="12">
        <v>2468.83</v>
      </c>
    </row>
    <row r="18" spans="1:6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1.744</v>
      </c>
      <c r="F18" s="12">
        <v>8045.85</v>
      </c>
    </row>
    <row r="19" spans="1:6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6" x14ac:dyDescent="0.3">
      <c r="A20" s="14" t="s">
        <v>20</v>
      </c>
      <c r="B20" s="15"/>
      <c r="C20" s="15"/>
      <c r="D20" s="16"/>
      <c r="F20" s="39">
        <f>SUM(F9:F19)</f>
        <v>79986.459999999992</v>
      </c>
    </row>
    <row r="21" spans="1:6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6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6" x14ac:dyDescent="0.3">
      <c r="A23" s="41"/>
      <c r="B23" s="41"/>
      <c r="C23" s="41"/>
      <c r="D23" s="41"/>
      <c r="E23" s="41"/>
      <c r="F23" s="41"/>
    </row>
    <row r="24" spans="1:6" x14ac:dyDescent="0.3">
      <c r="A24" s="22" t="s">
        <v>21</v>
      </c>
      <c r="B24" s="5"/>
      <c r="C24" s="5"/>
      <c r="D24" s="5"/>
      <c r="E24" s="6"/>
      <c r="F24" s="30">
        <v>0</v>
      </c>
    </row>
    <row r="25" spans="1:6" ht="48.75" customHeight="1" x14ac:dyDescent="0.3">
      <c r="A25" s="230" t="s">
        <v>155</v>
      </c>
      <c r="B25" s="230"/>
      <c r="C25" s="230"/>
      <c r="D25" s="230"/>
      <c r="E25" s="230"/>
      <c r="F25" s="230"/>
    </row>
    <row r="26" spans="1:6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6" x14ac:dyDescent="0.3">
      <c r="A27" s="232" t="s">
        <v>8</v>
      </c>
      <c r="B27" s="232"/>
      <c r="C27" s="232"/>
      <c r="D27" s="232"/>
      <c r="E27" s="232"/>
      <c r="F27" s="232"/>
    </row>
    <row r="28" spans="1:6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6" x14ac:dyDescent="0.3">
      <c r="A29" s="59"/>
      <c r="B29" s="59"/>
      <c r="C29" s="59"/>
      <c r="D29" s="59"/>
      <c r="E29" s="59"/>
      <c r="F29" s="59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59"/>
      <c r="B33" s="59"/>
      <c r="C33" s="59"/>
      <c r="D33" s="59"/>
      <c r="E33" s="59"/>
      <c r="F33" s="59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58"/>
    </row>
    <row r="38" spans="1:6" x14ac:dyDescent="0.3">
      <c r="A38" s="58"/>
    </row>
  </sheetData>
  <mergeCells count="25">
    <mergeCell ref="A8:F8"/>
    <mergeCell ref="A1:I1"/>
    <mergeCell ref="A2:I2"/>
    <mergeCell ref="A4:B4"/>
    <mergeCell ref="A6:I6"/>
    <mergeCell ref="C7:D7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A21:F21"/>
    <mergeCell ref="A25:F25"/>
    <mergeCell ref="C17:D17"/>
    <mergeCell ref="C18:D18"/>
    <mergeCell ref="A27:F27"/>
    <mergeCell ref="A28:F28"/>
    <mergeCell ref="A32:F3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8" workbookViewId="0">
      <selection activeCell="F9" sqref="F9:F1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58"/>
      <c r="E4" s="1" t="s">
        <v>131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5.7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0.53500000000000003</v>
      </c>
      <c r="F17" s="12">
        <v>2468.83</v>
      </c>
    </row>
    <row r="18" spans="1:11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0.42</v>
      </c>
      <c r="F18" s="12">
        <v>1927.27</v>
      </c>
    </row>
    <row r="19" spans="1:11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11" x14ac:dyDescent="0.3">
      <c r="A20" s="14" t="s">
        <v>20</v>
      </c>
      <c r="B20" s="15"/>
      <c r="C20" s="15"/>
      <c r="D20" s="16"/>
      <c r="F20" s="39">
        <f>SUM(F9:F19)</f>
        <v>73867.88</v>
      </c>
    </row>
    <row r="21" spans="1:11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1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1" ht="28.8" x14ac:dyDescent="0.3">
      <c r="A23" s="50" t="s">
        <v>132</v>
      </c>
      <c r="B23" s="52" t="s">
        <v>133</v>
      </c>
      <c r="C23" s="48" t="s">
        <v>47</v>
      </c>
      <c r="D23" s="48">
        <v>1</v>
      </c>
      <c r="E23" s="53">
        <v>2921</v>
      </c>
      <c r="F23" s="53">
        <v>2921</v>
      </c>
    </row>
    <row r="24" spans="1:11" x14ac:dyDescent="0.3">
      <c r="A24" s="22" t="s">
        <v>21</v>
      </c>
      <c r="B24" s="5"/>
      <c r="C24" s="5"/>
      <c r="D24" s="5"/>
      <c r="E24" s="6"/>
      <c r="F24" s="6">
        <f>F23</f>
        <v>2921</v>
      </c>
    </row>
    <row r="25" spans="1:11" ht="64.5" customHeight="1" x14ac:dyDescent="0.3">
      <c r="A25" s="230" t="s">
        <v>154</v>
      </c>
      <c r="B25" s="230"/>
      <c r="C25" s="230"/>
      <c r="D25" s="230"/>
      <c r="E25" s="230"/>
      <c r="F25" s="230"/>
      <c r="K25" s="34"/>
    </row>
    <row r="26" spans="1:11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11" x14ac:dyDescent="0.3">
      <c r="A27" s="232" t="s">
        <v>8</v>
      </c>
      <c r="B27" s="232"/>
      <c r="C27" s="232"/>
      <c r="D27" s="232"/>
      <c r="E27" s="232"/>
      <c r="F27" s="232"/>
    </row>
    <row r="28" spans="1:11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11" x14ac:dyDescent="0.3">
      <c r="A29" s="59"/>
      <c r="B29" s="59"/>
      <c r="C29" s="59"/>
      <c r="D29" s="59"/>
      <c r="E29" s="59"/>
      <c r="F29" s="59"/>
    </row>
    <row r="30" spans="1:11" x14ac:dyDescent="0.3">
      <c r="A30" s="4"/>
      <c r="B30" s="4" t="s">
        <v>10</v>
      </c>
      <c r="C30" s="4"/>
      <c r="D30" s="4"/>
      <c r="E30" s="4"/>
      <c r="F30" s="4"/>
    </row>
    <row r="31" spans="1:11" x14ac:dyDescent="0.3">
      <c r="A31" s="4"/>
      <c r="B31" s="4"/>
      <c r="C31" s="4"/>
      <c r="D31" s="4"/>
      <c r="E31" s="4"/>
      <c r="F31" s="4"/>
    </row>
    <row r="32" spans="1:11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59"/>
      <c r="B33" s="59"/>
      <c r="C33" s="59"/>
      <c r="D33" s="59"/>
      <c r="E33" s="59"/>
      <c r="F33" s="59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58"/>
    </row>
    <row r="38" spans="1:6" x14ac:dyDescent="0.3">
      <c r="A38" s="58"/>
    </row>
  </sheetData>
  <mergeCells count="25">
    <mergeCell ref="A8:F8"/>
    <mergeCell ref="A1:I1"/>
    <mergeCell ref="A2:I2"/>
    <mergeCell ref="A4:B4"/>
    <mergeCell ref="A6:I6"/>
    <mergeCell ref="C7:D7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A21:F21"/>
    <mergeCell ref="A25:F25"/>
    <mergeCell ref="C17:D17"/>
    <mergeCell ref="C18:D18"/>
    <mergeCell ref="A27:F27"/>
    <mergeCell ref="A28:F28"/>
    <mergeCell ref="A32:F3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8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61"/>
      <c r="E4" s="1" t="s">
        <v>134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6" ht="17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0.53500000000000003</v>
      </c>
      <c r="F17" s="12">
        <v>2468.83</v>
      </c>
    </row>
    <row r="18" spans="1:6" ht="17.2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0.66</v>
      </c>
      <c r="F18" s="12">
        <v>3059.41</v>
      </c>
    </row>
    <row r="19" spans="1:6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6" x14ac:dyDescent="0.3">
      <c r="A20" s="14" t="s">
        <v>20</v>
      </c>
      <c r="B20" s="15"/>
      <c r="C20" s="15"/>
      <c r="D20" s="16"/>
      <c r="F20" s="39">
        <f>SUM(F9:F19)</f>
        <v>75000.01999999999</v>
      </c>
    </row>
    <row r="21" spans="1:6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6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6" x14ac:dyDescent="0.3">
      <c r="A23" s="50"/>
      <c r="B23" s="52"/>
      <c r="C23" s="48"/>
      <c r="D23" s="48"/>
      <c r="E23" s="53"/>
      <c r="F23" s="53"/>
    </row>
    <row r="24" spans="1:6" x14ac:dyDescent="0.3">
      <c r="A24" s="22" t="s">
        <v>21</v>
      </c>
      <c r="B24" s="5"/>
      <c r="C24" s="5"/>
      <c r="D24" s="5"/>
      <c r="E24" s="6"/>
      <c r="F24" s="6">
        <f>F23</f>
        <v>0</v>
      </c>
    </row>
    <row r="25" spans="1:6" ht="48.75" customHeight="1" x14ac:dyDescent="0.3">
      <c r="A25" s="230" t="s">
        <v>153</v>
      </c>
      <c r="B25" s="230"/>
      <c r="C25" s="230"/>
      <c r="D25" s="230"/>
      <c r="E25" s="230"/>
      <c r="F25" s="230"/>
    </row>
    <row r="26" spans="1:6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6" x14ac:dyDescent="0.3">
      <c r="A27" s="232" t="s">
        <v>8</v>
      </c>
      <c r="B27" s="232"/>
      <c r="C27" s="232"/>
      <c r="D27" s="232"/>
      <c r="E27" s="232"/>
      <c r="F27" s="232"/>
    </row>
    <row r="28" spans="1:6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6" x14ac:dyDescent="0.3">
      <c r="A29" s="60"/>
      <c r="B29" s="60"/>
      <c r="C29" s="60"/>
      <c r="D29" s="60"/>
      <c r="E29" s="60"/>
      <c r="F29" s="60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60"/>
      <c r="B33" s="60"/>
      <c r="C33" s="60"/>
      <c r="D33" s="60"/>
      <c r="E33" s="60"/>
      <c r="F33" s="60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61"/>
    </row>
    <row r="38" spans="1:6" x14ac:dyDescent="0.3">
      <c r="A38" s="61"/>
    </row>
  </sheetData>
  <mergeCells count="25">
    <mergeCell ref="A27:F27"/>
    <mergeCell ref="A28:F28"/>
    <mergeCell ref="A32:F32"/>
    <mergeCell ref="A34:F34"/>
    <mergeCell ref="A35:F35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A21:F21"/>
    <mergeCell ref="A25:F25"/>
    <mergeCell ref="C17:D17"/>
    <mergeCell ref="C18:D18"/>
    <mergeCell ref="A8:F8"/>
    <mergeCell ref="A1:I1"/>
    <mergeCell ref="A2:I2"/>
    <mergeCell ref="A4:B4"/>
    <mergeCell ref="A6:I6"/>
    <mergeCell ref="C7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8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62"/>
      <c r="E4" s="1" t="s">
        <v>135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5.7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0.53600000000000003</v>
      </c>
      <c r="F17" s="12">
        <v>2468.83</v>
      </c>
    </row>
    <row r="18" spans="1:11" ht="16.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0.66</v>
      </c>
      <c r="F18" s="12">
        <v>3059.41</v>
      </c>
    </row>
    <row r="19" spans="1:11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11" x14ac:dyDescent="0.3">
      <c r="A20" s="14" t="s">
        <v>20</v>
      </c>
      <c r="B20" s="15"/>
      <c r="C20" s="15"/>
      <c r="D20" s="16"/>
      <c r="F20" s="39">
        <f>SUM(F9:F19)</f>
        <v>75000.01999999999</v>
      </c>
    </row>
    <row r="21" spans="1:11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1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1" x14ac:dyDescent="0.3">
      <c r="A23" s="68" t="s">
        <v>140</v>
      </c>
      <c r="B23" s="52" t="s">
        <v>141</v>
      </c>
      <c r="C23" s="48" t="s">
        <v>47</v>
      </c>
      <c r="D23" s="48">
        <v>1</v>
      </c>
      <c r="E23" s="53">
        <v>1102</v>
      </c>
      <c r="F23" s="53">
        <v>1102</v>
      </c>
    </row>
    <row r="24" spans="1:11" x14ac:dyDescent="0.3">
      <c r="A24" s="22" t="s">
        <v>21</v>
      </c>
      <c r="B24" s="5"/>
      <c r="C24" s="5"/>
      <c r="D24" s="5"/>
      <c r="E24" s="6"/>
      <c r="F24" s="6">
        <f>F23</f>
        <v>1102</v>
      </c>
    </row>
    <row r="25" spans="1:11" ht="48.75" customHeight="1" x14ac:dyDescent="0.3">
      <c r="A25" s="230" t="s">
        <v>152</v>
      </c>
      <c r="B25" s="230"/>
      <c r="C25" s="230"/>
      <c r="D25" s="230"/>
      <c r="E25" s="230"/>
      <c r="F25" s="230"/>
      <c r="K25" s="34"/>
    </row>
    <row r="26" spans="1:11" ht="29.25" customHeight="1" x14ac:dyDescent="0.3">
      <c r="A26" s="231" t="s">
        <v>7</v>
      </c>
      <c r="B26" s="231"/>
      <c r="C26" s="231"/>
      <c r="D26" s="231"/>
      <c r="E26" s="231"/>
      <c r="F26" s="231"/>
    </row>
    <row r="27" spans="1:11" x14ac:dyDescent="0.3">
      <c r="A27" s="232" t="s">
        <v>8</v>
      </c>
      <c r="B27" s="232"/>
      <c r="C27" s="232"/>
      <c r="D27" s="232"/>
      <c r="E27" s="232"/>
      <c r="F27" s="232"/>
    </row>
    <row r="28" spans="1:11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11" x14ac:dyDescent="0.3">
      <c r="A29" s="63"/>
      <c r="B29" s="63"/>
      <c r="C29" s="63"/>
      <c r="D29" s="63"/>
      <c r="E29" s="63"/>
      <c r="F29" s="63"/>
    </row>
    <row r="30" spans="1:11" x14ac:dyDescent="0.3">
      <c r="A30" s="4"/>
      <c r="B30" s="4" t="s">
        <v>10</v>
      </c>
      <c r="C30" s="4"/>
      <c r="D30" s="4"/>
      <c r="E30" s="4"/>
      <c r="F30" s="4"/>
    </row>
    <row r="31" spans="1:11" x14ac:dyDescent="0.3">
      <c r="A31" s="4"/>
      <c r="B31" s="4"/>
      <c r="C31" s="4"/>
      <c r="D31" s="4"/>
      <c r="E31" s="4"/>
      <c r="F31" s="4"/>
    </row>
    <row r="32" spans="1:11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63"/>
      <c r="B33" s="63"/>
      <c r="C33" s="63"/>
      <c r="D33" s="63"/>
      <c r="E33" s="63"/>
      <c r="F33" s="63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62"/>
    </row>
    <row r="38" spans="1:6" x14ac:dyDescent="0.3">
      <c r="A38" s="62"/>
    </row>
  </sheetData>
  <mergeCells count="25">
    <mergeCell ref="A8:F8"/>
    <mergeCell ref="A1:I1"/>
    <mergeCell ref="A2:I2"/>
    <mergeCell ref="A4:B4"/>
    <mergeCell ref="A6:I6"/>
    <mergeCell ref="C7:D7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A21:F21"/>
    <mergeCell ref="A25:F25"/>
    <mergeCell ref="C17:D17"/>
    <mergeCell ref="C18:D18"/>
    <mergeCell ref="A27:F27"/>
    <mergeCell ref="A28:F28"/>
    <mergeCell ref="A32:F3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8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42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62"/>
      <c r="E4" s="1" t="s">
        <v>136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6" ht="15.7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0.53500000000000003</v>
      </c>
      <c r="F17" s="12">
        <v>2468.13</v>
      </c>
    </row>
    <row r="18" spans="1:6" ht="16.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0.66</v>
      </c>
      <c r="F18" s="12">
        <v>3059.41</v>
      </c>
    </row>
    <row r="19" spans="1:6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6" x14ac:dyDescent="0.3">
      <c r="A20" s="14" t="s">
        <v>20</v>
      </c>
      <c r="B20" s="15"/>
      <c r="C20" s="15"/>
      <c r="D20" s="16"/>
      <c r="F20" s="39">
        <f>SUM(F9:F19)</f>
        <v>74999.320000000007</v>
      </c>
    </row>
    <row r="21" spans="1:6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6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6" x14ac:dyDescent="0.3">
      <c r="A23" s="50"/>
      <c r="B23" s="52"/>
      <c r="C23" s="48"/>
      <c r="D23" s="48"/>
      <c r="E23" s="53"/>
      <c r="F23" s="53"/>
    </row>
    <row r="24" spans="1:6" x14ac:dyDescent="0.3">
      <c r="A24" s="22" t="s">
        <v>21</v>
      </c>
      <c r="B24" s="5"/>
      <c r="C24" s="5"/>
      <c r="D24" s="5"/>
      <c r="E24" s="6"/>
      <c r="F24" s="6">
        <f>F23</f>
        <v>0</v>
      </c>
    </row>
    <row r="25" spans="1:6" ht="48.75" customHeight="1" x14ac:dyDescent="0.3">
      <c r="A25" s="230" t="s">
        <v>151</v>
      </c>
      <c r="B25" s="230"/>
      <c r="C25" s="230"/>
      <c r="D25" s="230"/>
      <c r="E25" s="230"/>
      <c r="F25" s="230"/>
    </row>
    <row r="26" spans="1:6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6" x14ac:dyDescent="0.3">
      <c r="A27" s="232" t="s">
        <v>8</v>
      </c>
      <c r="B27" s="232"/>
      <c r="C27" s="232"/>
      <c r="D27" s="232"/>
      <c r="E27" s="232"/>
      <c r="F27" s="232"/>
    </row>
    <row r="28" spans="1:6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6" x14ac:dyDescent="0.3">
      <c r="A29" s="63"/>
      <c r="B29" s="63"/>
      <c r="C29" s="63"/>
      <c r="D29" s="63"/>
      <c r="E29" s="63"/>
      <c r="F29" s="63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63"/>
      <c r="B33" s="63"/>
      <c r="C33" s="63"/>
      <c r="D33" s="63"/>
      <c r="E33" s="63"/>
      <c r="F33" s="63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62"/>
    </row>
    <row r="38" spans="1:6" x14ac:dyDescent="0.3">
      <c r="A38" s="62"/>
    </row>
  </sheetData>
  <mergeCells count="25">
    <mergeCell ref="A8:F8"/>
    <mergeCell ref="A1:I1"/>
    <mergeCell ref="A2:I2"/>
    <mergeCell ref="A4:B4"/>
    <mergeCell ref="A6:I6"/>
    <mergeCell ref="C7:D7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9:D19"/>
    <mergeCell ref="A21:F21"/>
    <mergeCell ref="A25:F25"/>
    <mergeCell ref="C17:D17"/>
    <mergeCell ref="C18:D18"/>
    <mergeCell ref="A27:F27"/>
    <mergeCell ref="A28:F28"/>
    <mergeCell ref="A32:F3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9" workbookViewId="0">
      <selection activeCell="L19" sqref="L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40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65"/>
      <c r="E4" s="1" t="s">
        <v>137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6.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0.23</v>
      </c>
      <c r="F17" s="12">
        <v>1062.2</v>
      </c>
    </row>
    <row r="18" spans="1:11" ht="1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0.66</v>
      </c>
      <c r="F18" s="12">
        <v>3031.72</v>
      </c>
    </row>
    <row r="19" spans="1:11" ht="60" customHeight="1" x14ac:dyDescent="0.3">
      <c r="A19" s="69" t="s">
        <v>143</v>
      </c>
      <c r="B19" s="24" t="s">
        <v>89</v>
      </c>
      <c r="C19" s="217" t="s">
        <v>94</v>
      </c>
      <c r="D19" s="218"/>
      <c r="E19" s="10">
        <v>2000</v>
      </c>
      <c r="F19" s="10">
        <v>4000</v>
      </c>
    </row>
    <row r="20" spans="1:11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3.76*4613</f>
        <v>17344.879999999997</v>
      </c>
    </row>
    <row r="21" spans="1:11" x14ac:dyDescent="0.3">
      <c r="A21" s="14" t="s">
        <v>20</v>
      </c>
      <c r="B21" s="15"/>
      <c r="C21" s="15"/>
      <c r="D21" s="16"/>
      <c r="F21" s="39">
        <f>SUM(F9:F20)</f>
        <v>77565.7</v>
      </c>
    </row>
    <row r="22" spans="1:11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1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1" ht="28.8" x14ac:dyDescent="0.3">
      <c r="A24" s="50" t="s">
        <v>138</v>
      </c>
      <c r="B24" s="48" t="s">
        <v>139</v>
      </c>
      <c r="C24" s="48" t="s">
        <v>47</v>
      </c>
      <c r="D24" s="48">
        <v>1</v>
      </c>
      <c r="E24" s="53">
        <f>F24/D24</f>
        <v>4059</v>
      </c>
      <c r="F24" s="53">
        <v>4059</v>
      </c>
    </row>
    <row r="25" spans="1:11" x14ac:dyDescent="0.3">
      <c r="A25" s="22" t="s">
        <v>21</v>
      </c>
      <c r="B25" s="5"/>
      <c r="C25" s="5"/>
      <c r="D25" s="5"/>
      <c r="E25" s="6"/>
      <c r="F25" s="6">
        <f>F24</f>
        <v>4059</v>
      </c>
    </row>
    <row r="26" spans="1:11" ht="48.75" customHeight="1" x14ac:dyDescent="0.3">
      <c r="A26" s="230" t="s">
        <v>150</v>
      </c>
      <c r="B26" s="230"/>
      <c r="C26" s="230"/>
      <c r="D26" s="230"/>
      <c r="E26" s="230"/>
      <c r="F26" s="230"/>
      <c r="K26" s="34"/>
    </row>
    <row r="27" spans="1:11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1" x14ac:dyDescent="0.3">
      <c r="A28" s="232" t="s">
        <v>8</v>
      </c>
      <c r="B28" s="232"/>
      <c r="C28" s="232"/>
      <c r="D28" s="232"/>
      <c r="E28" s="232"/>
      <c r="F28" s="232"/>
    </row>
    <row r="29" spans="1:11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1" x14ac:dyDescent="0.3">
      <c r="A30" s="64"/>
      <c r="B30" s="64"/>
      <c r="C30" s="64"/>
      <c r="D30" s="64"/>
      <c r="E30" s="64"/>
      <c r="F30" s="64"/>
    </row>
    <row r="31" spans="1:11" x14ac:dyDescent="0.3">
      <c r="A31" s="4"/>
      <c r="B31" s="4" t="s">
        <v>10</v>
      </c>
      <c r="C31" s="4"/>
      <c r="D31" s="4"/>
      <c r="E31" s="4"/>
      <c r="F31" s="4"/>
    </row>
    <row r="32" spans="1:11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64"/>
      <c r="B34" s="64"/>
      <c r="C34" s="64"/>
      <c r="D34" s="64"/>
      <c r="E34" s="64"/>
      <c r="F34" s="64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65"/>
    </row>
    <row r="39" spans="1:6" x14ac:dyDescent="0.3">
      <c r="A39" s="65"/>
    </row>
  </sheetData>
  <mergeCells count="26">
    <mergeCell ref="A28:F28"/>
    <mergeCell ref="A29:F29"/>
    <mergeCell ref="A33:F33"/>
    <mergeCell ref="A35:F35"/>
    <mergeCell ref="A36:F36"/>
    <mergeCell ref="A27:F27"/>
    <mergeCell ref="C9:D9"/>
    <mergeCell ref="C10:D10"/>
    <mergeCell ref="C11:D11"/>
    <mergeCell ref="C12:D12"/>
    <mergeCell ref="C13:D13"/>
    <mergeCell ref="C14:D14"/>
    <mergeCell ref="C15:D15"/>
    <mergeCell ref="C16:D16"/>
    <mergeCell ref="C20:D20"/>
    <mergeCell ref="A22:F22"/>
    <mergeCell ref="A26:F26"/>
    <mergeCell ref="C17:D17"/>
    <mergeCell ref="C18:D18"/>
    <mergeCell ref="C19:D19"/>
    <mergeCell ref="A8:F8"/>
    <mergeCell ref="A1:I1"/>
    <mergeCell ref="A2:I2"/>
    <mergeCell ref="A4:B4"/>
    <mergeCell ref="A6:I6"/>
    <mergeCell ref="C7:D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39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67"/>
      <c r="E4" s="1" t="s">
        <v>142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0.26</v>
      </c>
      <c r="F17" s="12">
        <v>1195.6300000000001</v>
      </c>
    </row>
    <row r="18" spans="1:11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0.68</v>
      </c>
      <c r="F18" s="12">
        <v>3141.98</v>
      </c>
    </row>
    <row r="19" spans="1:11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11" x14ac:dyDescent="0.3">
      <c r="A20" s="14" t="s">
        <v>20</v>
      </c>
      <c r="B20" s="15"/>
      <c r="C20" s="15"/>
      <c r="D20" s="16"/>
      <c r="F20" s="39">
        <f>SUM(F9:F19)</f>
        <v>73809.39</v>
      </c>
    </row>
    <row r="21" spans="1:11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1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1" ht="91.5" customHeight="1" x14ac:dyDescent="0.3">
      <c r="A23" s="50" t="s">
        <v>145</v>
      </c>
      <c r="B23" s="48" t="s">
        <v>144</v>
      </c>
      <c r="C23" s="48" t="s">
        <v>47</v>
      </c>
      <c r="D23" s="48">
        <v>3</v>
      </c>
      <c r="E23" s="53">
        <f>F23/D23</f>
        <v>9511.6666666666661</v>
      </c>
      <c r="F23" s="53">
        <v>28535</v>
      </c>
    </row>
    <row r="24" spans="1:11" ht="57.6" x14ac:dyDescent="0.3">
      <c r="A24" s="50" t="s">
        <v>146</v>
      </c>
      <c r="B24" s="48" t="s">
        <v>144</v>
      </c>
      <c r="C24" s="48" t="s">
        <v>47</v>
      </c>
      <c r="D24" s="48">
        <v>5</v>
      </c>
      <c r="E24" s="53">
        <f>F24/D24</f>
        <v>756.2</v>
      </c>
      <c r="F24" s="53">
        <v>3781</v>
      </c>
    </row>
    <row r="25" spans="1:11" x14ac:dyDescent="0.3">
      <c r="A25" s="22" t="s">
        <v>21</v>
      </c>
      <c r="B25" s="5"/>
      <c r="C25" s="5"/>
      <c r="D25" s="5"/>
      <c r="E25" s="6"/>
      <c r="F25" s="6">
        <f>F23+F24</f>
        <v>32316</v>
      </c>
    </row>
    <row r="26" spans="1:11" ht="48.75" customHeight="1" x14ac:dyDescent="0.3">
      <c r="A26" s="230" t="s">
        <v>156</v>
      </c>
      <c r="B26" s="230"/>
      <c r="C26" s="230"/>
      <c r="D26" s="230"/>
      <c r="E26" s="230"/>
      <c r="F26" s="230"/>
      <c r="K26" s="34"/>
    </row>
    <row r="27" spans="1:11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1" x14ac:dyDescent="0.3">
      <c r="A28" s="232" t="s">
        <v>8</v>
      </c>
      <c r="B28" s="232"/>
      <c r="C28" s="232"/>
      <c r="D28" s="232"/>
      <c r="E28" s="232"/>
      <c r="F28" s="232"/>
    </row>
    <row r="29" spans="1:11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1" x14ac:dyDescent="0.3">
      <c r="A30" s="66"/>
      <c r="B30" s="66"/>
      <c r="C30" s="66"/>
      <c r="D30" s="66"/>
      <c r="E30" s="66"/>
      <c r="F30" s="66"/>
    </row>
    <row r="31" spans="1:11" x14ac:dyDescent="0.3">
      <c r="A31" s="4"/>
      <c r="B31" s="4" t="s">
        <v>10</v>
      </c>
      <c r="C31" s="4"/>
      <c r="D31" s="4"/>
      <c r="E31" s="4"/>
      <c r="F31" s="4"/>
    </row>
    <row r="32" spans="1:11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66"/>
      <c r="B34" s="66"/>
      <c r="C34" s="66"/>
      <c r="D34" s="66"/>
      <c r="E34" s="66"/>
      <c r="F34" s="66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67"/>
    </row>
    <row r="39" spans="1:6" x14ac:dyDescent="0.3">
      <c r="A39" s="67"/>
    </row>
  </sheetData>
  <mergeCells count="25">
    <mergeCell ref="A28:F28"/>
    <mergeCell ref="A29:F29"/>
    <mergeCell ref="A33:F33"/>
    <mergeCell ref="A35:F35"/>
    <mergeCell ref="A36:F36"/>
    <mergeCell ref="A26:F26"/>
    <mergeCell ref="A27:F27"/>
    <mergeCell ref="C9:D9"/>
    <mergeCell ref="C10:D10"/>
    <mergeCell ref="C11:D11"/>
    <mergeCell ref="C12:D12"/>
    <mergeCell ref="C13:D13"/>
    <mergeCell ref="C14:D14"/>
    <mergeCell ref="C17:D17"/>
    <mergeCell ref="C15:D15"/>
    <mergeCell ref="C16:D16"/>
    <mergeCell ref="C19:D19"/>
    <mergeCell ref="A21:F21"/>
    <mergeCell ref="A8:F8"/>
    <mergeCell ref="C18:D18"/>
    <mergeCell ref="A1:I1"/>
    <mergeCell ref="A2:I2"/>
    <mergeCell ref="A4:B4"/>
    <mergeCell ref="A6:I6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workbookViewId="0">
      <selection activeCell="K1" sqref="K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1"/>
      <c r="E4" s="1" t="s">
        <v>56</v>
      </c>
      <c r="F4" s="1"/>
    </row>
    <row r="6" spans="1:9" ht="175.5" customHeight="1" x14ac:dyDescent="0.3">
      <c r="A6" s="222" t="s">
        <v>69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72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5.25" customHeight="1" x14ac:dyDescent="0.3">
      <c r="A10" s="8" t="s">
        <v>68</v>
      </c>
      <c r="B10" s="9" t="s">
        <v>12</v>
      </c>
      <c r="C10" s="217" t="s">
        <v>44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6">
        <v>2.17</v>
      </c>
      <c r="F12" s="6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6">
        <v>0.84</v>
      </c>
      <c r="F13" s="6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2">
        <v>0.13</v>
      </c>
      <c r="F14" s="12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2">
        <v>0.04</v>
      </c>
      <c r="F15" s="12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6.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E18" s="17"/>
      <c r="F18" s="18">
        <f>SUM(F9:F17)</f>
        <v>69155.117000000013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43.2" x14ac:dyDescent="0.3">
      <c r="A21" s="22" t="s">
        <v>57</v>
      </c>
      <c r="B21" s="5" t="s">
        <v>59</v>
      </c>
      <c r="C21" s="5" t="s">
        <v>47</v>
      </c>
      <c r="D21" s="23">
        <v>1</v>
      </c>
      <c r="E21" s="30">
        <f>F21/D21</f>
        <v>1139</v>
      </c>
      <c r="F21" s="5">
        <v>1139</v>
      </c>
    </row>
    <row r="22" spans="1:6" ht="43.2" x14ac:dyDescent="0.3">
      <c r="A22" s="22" t="s">
        <v>58</v>
      </c>
      <c r="B22" s="5" t="s">
        <v>32</v>
      </c>
      <c r="C22" s="5" t="s">
        <v>47</v>
      </c>
      <c r="D22" s="23">
        <v>2</v>
      </c>
      <c r="E22" s="30">
        <f>F22/D22</f>
        <v>1173</v>
      </c>
      <c r="F22" s="5">
        <v>2346</v>
      </c>
    </row>
    <row r="23" spans="1:6" ht="43.2" x14ac:dyDescent="0.3">
      <c r="A23" s="22" t="s">
        <v>22</v>
      </c>
      <c r="B23" s="5" t="s">
        <v>32</v>
      </c>
      <c r="C23" s="5" t="s">
        <v>28</v>
      </c>
      <c r="D23" s="23">
        <v>1.25</v>
      </c>
      <c r="E23" s="6">
        <v>1650</v>
      </c>
      <c r="F23" s="30">
        <f>E23*D23</f>
        <v>2062.5</v>
      </c>
    </row>
    <row r="24" spans="1:6" x14ac:dyDescent="0.3">
      <c r="A24" s="22" t="s">
        <v>21</v>
      </c>
      <c r="B24" s="5"/>
      <c r="C24" s="5"/>
      <c r="D24" s="5"/>
      <c r="E24" s="6"/>
      <c r="F24" s="30">
        <f>SUM(F21:F23)</f>
        <v>5547.5</v>
      </c>
    </row>
    <row r="25" spans="1:6" ht="15.75" customHeight="1" x14ac:dyDescent="0.25">
      <c r="A25" s="22"/>
      <c r="B25" s="5"/>
      <c r="C25" s="5"/>
      <c r="D25" s="5"/>
      <c r="E25" s="6"/>
      <c r="F25" s="5"/>
    </row>
    <row r="26" spans="1:6" ht="45" customHeight="1" x14ac:dyDescent="0.3">
      <c r="A26" s="230" t="s">
        <v>73</v>
      </c>
      <c r="B26" s="230"/>
      <c r="C26" s="230"/>
      <c r="D26" s="230"/>
      <c r="E26" s="230"/>
      <c r="F26" s="230"/>
    </row>
    <row r="27" spans="1:6" ht="30" customHeight="1" x14ac:dyDescent="0.3">
      <c r="A27" s="231" t="s">
        <v>7</v>
      </c>
      <c r="B27" s="231"/>
      <c r="C27" s="231"/>
      <c r="D27" s="231"/>
      <c r="E27" s="231"/>
      <c r="F27" s="231"/>
    </row>
    <row r="28" spans="1:6" ht="16.5" customHeight="1" x14ac:dyDescent="0.3">
      <c r="A28" s="232" t="s">
        <v>8</v>
      </c>
      <c r="B28" s="232"/>
      <c r="C28" s="232"/>
      <c r="D28" s="232"/>
      <c r="E28" s="232"/>
      <c r="F28" s="232"/>
    </row>
    <row r="29" spans="1:6" ht="31.5" customHeight="1" x14ac:dyDescent="0.3">
      <c r="A29" s="231" t="s">
        <v>9</v>
      </c>
      <c r="B29" s="231"/>
      <c r="C29" s="231"/>
      <c r="D29" s="231"/>
      <c r="E29" s="231"/>
      <c r="F29" s="231"/>
    </row>
    <row r="30" spans="1:6" ht="32.25" customHeight="1" x14ac:dyDescent="0.3">
      <c r="A30" s="32"/>
      <c r="B30" s="32"/>
      <c r="C30" s="32"/>
      <c r="D30" s="32"/>
      <c r="E30" s="32"/>
      <c r="F30" s="32"/>
    </row>
    <row r="31" spans="1:6" x14ac:dyDescent="0.3">
      <c r="A31" s="4"/>
      <c r="B31" s="4" t="s">
        <v>10</v>
      </c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32"/>
      <c r="B34" s="32"/>
      <c r="C34" s="32"/>
      <c r="D34" s="32"/>
      <c r="E34" s="32"/>
      <c r="F34" s="32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29"/>
    </row>
    <row r="39" spans="1:6" x14ac:dyDescent="0.3">
      <c r="A39" s="26"/>
    </row>
  </sheetData>
  <mergeCells count="23">
    <mergeCell ref="A1:I1"/>
    <mergeCell ref="A2:I2"/>
    <mergeCell ref="A4:B4"/>
    <mergeCell ref="A6:I6"/>
    <mergeCell ref="C7:D7"/>
    <mergeCell ref="A8:F8"/>
    <mergeCell ref="C9:D9"/>
    <mergeCell ref="C11:D11"/>
    <mergeCell ref="C12:D12"/>
    <mergeCell ref="C13:D13"/>
    <mergeCell ref="C10:D10"/>
    <mergeCell ref="C14:D14"/>
    <mergeCell ref="C15:D15"/>
    <mergeCell ref="C16:D16"/>
    <mergeCell ref="C17:D17"/>
    <mergeCell ref="A19:F19"/>
    <mergeCell ref="A35:F35"/>
    <mergeCell ref="A36:F36"/>
    <mergeCell ref="A26:F26"/>
    <mergeCell ref="A27:F27"/>
    <mergeCell ref="A28:F28"/>
    <mergeCell ref="A29:F29"/>
    <mergeCell ref="A33:F3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38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70"/>
      <c r="E4" s="1" t="s">
        <v>157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0.33</v>
      </c>
      <c r="F17" s="12">
        <v>1508.21</v>
      </c>
    </row>
    <row r="18" spans="1:11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0.68</v>
      </c>
      <c r="F18" s="12">
        <v>3141.98</v>
      </c>
    </row>
    <row r="19" spans="1:11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11" x14ac:dyDescent="0.3">
      <c r="A20" s="14" t="s">
        <v>20</v>
      </c>
      <c r="B20" s="15"/>
      <c r="C20" s="15"/>
      <c r="D20" s="16"/>
      <c r="F20" s="39">
        <f>SUM(F9:F19)</f>
        <v>74121.97</v>
      </c>
    </row>
    <row r="21" spans="1:11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1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1" ht="60.75" customHeight="1" x14ac:dyDescent="0.3">
      <c r="A23" s="50" t="s">
        <v>158</v>
      </c>
      <c r="B23" s="48" t="s">
        <v>159</v>
      </c>
      <c r="C23" s="48" t="s">
        <v>86</v>
      </c>
      <c r="D23" s="48">
        <v>34.5</v>
      </c>
      <c r="E23" s="53">
        <f>F23/D23</f>
        <v>1279.7101449275362</v>
      </c>
      <c r="F23" s="53">
        <v>44150</v>
      </c>
    </row>
    <row r="24" spans="1:11" ht="28.8" x14ac:dyDescent="0.3">
      <c r="A24" s="50" t="s">
        <v>160</v>
      </c>
      <c r="B24" s="48" t="s">
        <v>159</v>
      </c>
      <c r="C24" s="48" t="s">
        <v>27</v>
      </c>
      <c r="D24" s="48">
        <v>60</v>
      </c>
      <c r="E24" s="53">
        <f>F24/D24</f>
        <v>385</v>
      </c>
      <c r="F24" s="53">
        <v>23100</v>
      </c>
    </row>
    <row r="25" spans="1:11" x14ac:dyDescent="0.3">
      <c r="A25" s="22" t="s">
        <v>21</v>
      </c>
      <c r="B25" s="5"/>
      <c r="C25" s="5"/>
      <c r="D25" s="5"/>
      <c r="E25" s="6"/>
      <c r="F25" s="6">
        <f>F23+F24</f>
        <v>67250</v>
      </c>
    </row>
    <row r="26" spans="1:11" ht="48.75" customHeight="1" x14ac:dyDescent="0.3">
      <c r="A26" s="230" t="s">
        <v>161</v>
      </c>
      <c r="B26" s="230"/>
      <c r="C26" s="230"/>
      <c r="D26" s="230"/>
      <c r="E26" s="230"/>
      <c r="F26" s="230"/>
      <c r="K26" s="34"/>
    </row>
    <row r="27" spans="1:11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1" x14ac:dyDescent="0.3">
      <c r="A28" s="232" t="s">
        <v>8</v>
      </c>
      <c r="B28" s="232"/>
      <c r="C28" s="232"/>
      <c r="D28" s="232"/>
      <c r="E28" s="232"/>
      <c r="F28" s="232"/>
    </row>
    <row r="29" spans="1:11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1" x14ac:dyDescent="0.3">
      <c r="A30" s="71"/>
      <c r="B30" s="71"/>
      <c r="C30" s="71"/>
      <c r="D30" s="71"/>
      <c r="E30" s="71"/>
      <c r="F30" s="71"/>
    </row>
    <row r="31" spans="1:11" x14ac:dyDescent="0.3">
      <c r="A31" s="4"/>
      <c r="B31" s="4" t="s">
        <v>10</v>
      </c>
      <c r="C31" s="4"/>
      <c r="D31" s="4"/>
      <c r="E31" s="4"/>
      <c r="F31" s="4"/>
    </row>
    <row r="32" spans="1:11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71"/>
      <c r="B34" s="71"/>
      <c r="C34" s="71"/>
      <c r="D34" s="71"/>
      <c r="E34" s="71"/>
      <c r="F34" s="71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70"/>
    </row>
    <row r="39" spans="1:6" x14ac:dyDescent="0.3">
      <c r="A39" s="70"/>
    </row>
  </sheetData>
  <mergeCells count="25">
    <mergeCell ref="A8:F8"/>
    <mergeCell ref="A1:I1"/>
    <mergeCell ref="A2:I2"/>
    <mergeCell ref="A4:B4"/>
    <mergeCell ref="A6:I6"/>
    <mergeCell ref="C7:D7"/>
    <mergeCell ref="A21:F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6:F36"/>
    <mergeCell ref="A26:F26"/>
    <mergeCell ref="A27:F27"/>
    <mergeCell ref="A28:F28"/>
    <mergeCell ref="A29:F29"/>
    <mergeCell ref="A33:F33"/>
    <mergeCell ref="A35:F3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7" workbookViewId="0">
      <selection activeCell="F9" sqref="F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70"/>
      <c r="E4" s="1" t="s">
        <v>162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v>1303.6500000000001</v>
      </c>
    </row>
    <row r="18" spans="1:11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0.68</v>
      </c>
      <c r="F18" s="12">
        <v>3118.72</v>
      </c>
    </row>
    <row r="19" spans="1:11" x14ac:dyDescent="0.3">
      <c r="A19" s="8" t="s">
        <v>29</v>
      </c>
      <c r="B19" s="5" t="s">
        <v>26</v>
      </c>
      <c r="C19" s="217" t="s">
        <v>30</v>
      </c>
      <c r="D19" s="218"/>
      <c r="E19" s="13">
        <v>545.89</v>
      </c>
      <c r="F19" s="12">
        <f>3.76*4613</f>
        <v>17344.879999999997</v>
      </c>
    </row>
    <row r="20" spans="1:11" x14ac:dyDescent="0.3">
      <c r="A20" s="14" t="s">
        <v>20</v>
      </c>
      <c r="B20" s="15"/>
      <c r="C20" s="15"/>
      <c r="D20" s="16"/>
      <c r="F20" s="39">
        <f>SUM(F9:F19)</f>
        <v>73894.149999999994</v>
      </c>
    </row>
    <row r="21" spans="1:11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1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1" ht="47.25" customHeight="1" x14ac:dyDescent="0.3">
      <c r="A23" s="50" t="s">
        <v>163</v>
      </c>
      <c r="B23" s="48" t="s">
        <v>164</v>
      </c>
      <c r="C23" s="48" t="s">
        <v>47</v>
      </c>
      <c r="D23" s="48">
        <v>1</v>
      </c>
      <c r="E23" s="53">
        <f>F23/D23</f>
        <v>550</v>
      </c>
      <c r="F23" s="53">
        <v>550</v>
      </c>
    </row>
    <row r="24" spans="1:11" ht="134.25" customHeight="1" x14ac:dyDescent="0.3">
      <c r="A24" s="50" t="s">
        <v>165</v>
      </c>
      <c r="B24" s="48" t="s">
        <v>164</v>
      </c>
      <c r="C24" s="48" t="s">
        <v>47</v>
      </c>
      <c r="D24" s="48">
        <v>1</v>
      </c>
      <c r="E24" s="53">
        <f>F24/D24</f>
        <v>3194</v>
      </c>
      <c r="F24" s="53">
        <v>3194</v>
      </c>
    </row>
    <row r="25" spans="1:11" ht="46.5" customHeight="1" x14ac:dyDescent="0.3">
      <c r="A25" s="50" t="s">
        <v>166</v>
      </c>
      <c r="B25" s="48" t="s">
        <v>164</v>
      </c>
      <c r="C25" s="48" t="s">
        <v>47</v>
      </c>
      <c r="D25" s="48">
        <v>1</v>
      </c>
      <c r="E25" s="53">
        <f>F25/D25</f>
        <v>33000</v>
      </c>
      <c r="F25" s="53">
        <v>33000</v>
      </c>
    </row>
    <row r="26" spans="1:11" x14ac:dyDescent="0.3">
      <c r="A26" s="22" t="s">
        <v>21</v>
      </c>
      <c r="B26" s="5"/>
      <c r="C26" s="5"/>
      <c r="D26" s="5"/>
      <c r="E26" s="6"/>
      <c r="F26" s="6">
        <f>F23+F24+F25</f>
        <v>36744</v>
      </c>
    </row>
    <row r="27" spans="1:11" ht="48.75" customHeight="1" x14ac:dyDescent="0.3">
      <c r="A27" s="230" t="s">
        <v>167</v>
      </c>
      <c r="B27" s="230"/>
      <c r="C27" s="230"/>
      <c r="D27" s="230"/>
      <c r="E27" s="230"/>
      <c r="F27" s="230"/>
      <c r="K27" s="34"/>
    </row>
    <row r="28" spans="1:11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1" x14ac:dyDescent="0.3">
      <c r="A29" s="232" t="s">
        <v>8</v>
      </c>
      <c r="B29" s="232"/>
      <c r="C29" s="232"/>
      <c r="D29" s="232"/>
      <c r="E29" s="232"/>
      <c r="F29" s="232"/>
    </row>
    <row r="30" spans="1:11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1" x14ac:dyDescent="0.3">
      <c r="A31" s="71"/>
      <c r="B31" s="71"/>
      <c r="C31" s="71"/>
      <c r="D31" s="71"/>
      <c r="E31" s="71"/>
      <c r="F31" s="71"/>
    </row>
    <row r="32" spans="1:11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71"/>
      <c r="B35" s="71"/>
      <c r="C35" s="71"/>
      <c r="D35" s="71"/>
      <c r="E35" s="71"/>
      <c r="F35" s="71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70"/>
    </row>
    <row r="40" spans="1:6" x14ac:dyDescent="0.3">
      <c r="A40" s="70"/>
    </row>
  </sheetData>
  <mergeCells count="25">
    <mergeCell ref="A8:F8"/>
    <mergeCell ref="A1:I1"/>
    <mergeCell ref="A2:I2"/>
    <mergeCell ref="A4:B4"/>
    <mergeCell ref="A6:I6"/>
    <mergeCell ref="C7:D7"/>
    <mergeCell ref="A21:F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7:F37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9" workbookViewId="0">
      <selection activeCell="F9" sqref="F9:F2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73"/>
      <c r="E4" s="1" t="s">
        <v>168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0.28999999999999998</v>
      </c>
      <c r="F17" s="12">
        <v>1336.69</v>
      </c>
    </row>
    <row r="18" spans="1:11" ht="28.5" customHeight="1" x14ac:dyDescent="0.3">
      <c r="A18" s="8" t="s">
        <v>174</v>
      </c>
      <c r="B18" s="11" t="s">
        <v>16</v>
      </c>
      <c r="C18" s="217" t="s">
        <v>44</v>
      </c>
      <c r="D18" s="218"/>
      <c r="E18" s="12">
        <v>0.25</v>
      </c>
      <c r="F18" s="12">
        <v>1153.25</v>
      </c>
    </row>
    <row r="19" spans="1:11" ht="29.25" customHeight="1" x14ac:dyDescent="0.3">
      <c r="A19" s="8" t="s">
        <v>175</v>
      </c>
      <c r="B19" s="11" t="s">
        <v>16</v>
      </c>
      <c r="C19" s="217" t="s">
        <v>44</v>
      </c>
      <c r="D19" s="218"/>
      <c r="E19" s="12">
        <v>0.25</v>
      </c>
      <c r="F19" s="12">
        <v>1153.25</v>
      </c>
    </row>
    <row r="20" spans="1:11" ht="15.75" customHeight="1" x14ac:dyDescent="0.3">
      <c r="A20" s="8" t="s">
        <v>148</v>
      </c>
      <c r="B20" s="11" t="s">
        <v>16</v>
      </c>
      <c r="C20" s="217" t="s">
        <v>44</v>
      </c>
      <c r="D20" s="218"/>
      <c r="E20" s="12">
        <v>0.68</v>
      </c>
      <c r="F20" s="12">
        <v>3134.39</v>
      </c>
    </row>
    <row r="21" spans="1:11" x14ac:dyDescent="0.3">
      <c r="A21" s="8" t="s">
        <v>29</v>
      </c>
      <c r="B21" s="5" t="s">
        <v>26</v>
      </c>
      <c r="C21" s="217" t="s">
        <v>30</v>
      </c>
      <c r="D21" s="218"/>
      <c r="E21" s="13">
        <v>545.89</v>
      </c>
      <c r="F21" s="12">
        <f>3.76*4613</f>
        <v>17344.879999999997</v>
      </c>
    </row>
    <row r="22" spans="1:11" x14ac:dyDescent="0.3">
      <c r="A22" s="14" t="s">
        <v>20</v>
      </c>
      <c r="B22" s="15"/>
      <c r="C22" s="15"/>
      <c r="D22" s="16"/>
      <c r="F22" s="39">
        <f>SUM(F9:F21)</f>
        <v>76249.36</v>
      </c>
    </row>
    <row r="23" spans="1:11" ht="15" customHeight="1" x14ac:dyDescent="0.3">
      <c r="A23" s="229" t="s">
        <v>17</v>
      </c>
      <c r="B23" s="229"/>
      <c r="C23" s="229"/>
      <c r="D23" s="229"/>
      <c r="E23" s="229"/>
      <c r="F23" s="229"/>
    </row>
    <row r="24" spans="1:11" ht="110.4" x14ac:dyDescent="0.3">
      <c r="A24" s="7" t="s">
        <v>3</v>
      </c>
      <c r="B24" s="7" t="s">
        <v>24</v>
      </c>
      <c r="C24" s="24" t="s">
        <v>4</v>
      </c>
      <c r="D24" s="21" t="s">
        <v>23</v>
      </c>
      <c r="E24" s="7" t="s">
        <v>5</v>
      </c>
      <c r="F24" s="7" t="s">
        <v>6</v>
      </c>
    </row>
    <row r="25" spans="1:11" ht="63.75" customHeight="1" x14ac:dyDescent="0.3">
      <c r="A25" s="50" t="s">
        <v>170</v>
      </c>
      <c r="B25" s="48" t="s">
        <v>169</v>
      </c>
      <c r="C25" s="48" t="s">
        <v>47</v>
      </c>
      <c r="D25" s="48">
        <v>5</v>
      </c>
      <c r="E25" s="53">
        <f>F25/D25</f>
        <v>5130.2</v>
      </c>
      <c r="F25" s="53">
        <v>25651</v>
      </c>
    </row>
    <row r="26" spans="1:11" ht="90.75" customHeight="1" x14ac:dyDescent="0.3">
      <c r="A26" s="50" t="s">
        <v>171</v>
      </c>
      <c r="B26" s="48" t="s">
        <v>169</v>
      </c>
      <c r="C26" s="48" t="s">
        <v>172</v>
      </c>
      <c r="D26" s="48">
        <v>82.8</v>
      </c>
      <c r="E26" s="53">
        <f>F26/D26</f>
        <v>20.398550724637683</v>
      </c>
      <c r="F26" s="53">
        <v>1689</v>
      </c>
    </row>
    <row r="27" spans="1:11" ht="62.25" customHeight="1" x14ac:dyDescent="0.3">
      <c r="A27" s="50" t="s">
        <v>173</v>
      </c>
      <c r="B27" s="48" t="s">
        <v>169</v>
      </c>
      <c r="C27" s="48" t="s">
        <v>86</v>
      </c>
      <c r="D27" s="48">
        <v>55</v>
      </c>
      <c r="E27" s="53">
        <f>F27/D27</f>
        <v>964.87272727272727</v>
      </c>
      <c r="F27" s="53">
        <v>53068</v>
      </c>
    </row>
    <row r="28" spans="1:11" ht="18" customHeight="1" x14ac:dyDescent="0.3">
      <c r="A28" s="22" t="s">
        <v>21</v>
      </c>
      <c r="B28" s="5"/>
      <c r="C28" s="5"/>
      <c r="D28" s="5"/>
      <c r="E28" s="6"/>
      <c r="F28" s="6">
        <f>F25+F26+F27</f>
        <v>80408</v>
      </c>
    </row>
    <row r="29" spans="1:11" ht="61.5" customHeight="1" x14ac:dyDescent="0.3">
      <c r="A29" s="230" t="s">
        <v>184</v>
      </c>
      <c r="B29" s="230"/>
      <c r="C29" s="230"/>
      <c r="D29" s="230"/>
      <c r="E29" s="230"/>
      <c r="F29" s="230"/>
      <c r="K29" s="34"/>
    </row>
    <row r="30" spans="1:11" ht="33.75" customHeight="1" x14ac:dyDescent="0.3">
      <c r="A30" s="231" t="s">
        <v>7</v>
      </c>
      <c r="B30" s="231"/>
      <c r="C30" s="231"/>
      <c r="D30" s="231"/>
      <c r="E30" s="231"/>
      <c r="F30" s="231"/>
    </row>
    <row r="31" spans="1:11" x14ac:dyDescent="0.3">
      <c r="A31" s="232" t="s">
        <v>8</v>
      </c>
      <c r="B31" s="232"/>
      <c r="C31" s="232"/>
      <c r="D31" s="232"/>
      <c r="E31" s="232"/>
      <c r="F31" s="232"/>
    </row>
    <row r="32" spans="1:11" ht="32.25" customHeight="1" x14ac:dyDescent="0.3">
      <c r="A32" s="231" t="s">
        <v>9</v>
      </c>
      <c r="B32" s="231"/>
      <c r="C32" s="231"/>
      <c r="D32" s="231"/>
      <c r="E32" s="231"/>
      <c r="F32" s="231"/>
    </row>
    <row r="33" spans="1:6" x14ac:dyDescent="0.3">
      <c r="A33" s="72"/>
      <c r="B33" s="72"/>
      <c r="C33" s="72"/>
      <c r="D33" s="72"/>
      <c r="E33" s="72"/>
      <c r="F33" s="72"/>
    </row>
    <row r="34" spans="1:6" x14ac:dyDescent="0.3">
      <c r="A34" s="4"/>
      <c r="B34" s="4" t="s">
        <v>10</v>
      </c>
      <c r="C34" s="4"/>
      <c r="D34" s="4"/>
      <c r="E34" s="4"/>
      <c r="F34" s="4"/>
    </row>
    <row r="35" spans="1:6" x14ac:dyDescent="0.3">
      <c r="A35" s="4"/>
      <c r="B35" s="4"/>
      <c r="C35" s="4"/>
      <c r="D35" s="4"/>
      <c r="E35" s="4"/>
      <c r="F35" s="4"/>
    </row>
    <row r="36" spans="1:6" x14ac:dyDescent="0.3">
      <c r="A36" s="225" t="s">
        <v>11</v>
      </c>
      <c r="B36" s="225"/>
      <c r="C36" s="225"/>
      <c r="D36" s="225"/>
      <c r="E36" s="225"/>
      <c r="F36" s="225"/>
    </row>
    <row r="37" spans="1:6" x14ac:dyDescent="0.3">
      <c r="A37" s="72"/>
      <c r="B37" s="72"/>
      <c r="C37" s="72"/>
      <c r="D37" s="72"/>
      <c r="E37" s="72"/>
      <c r="F37" s="72"/>
    </row>
    <row r="38" spans="1:6" x14ac:dyDescent="0.3">
      <c r="A38" s="225" t="s">
        <v>54</v>
      </c>
      <c r="B38" s="225"/>
      <c r="C38" s="225"/>
      <c r="D38" s="225"/>
      <c r="E38" s="225"/>
      <c r="F38" s="225"/>
    </row>
    <row r="39" spans="1:6" x14ac:dyDescent="0.3">
      <c r="A39" s="225" t="s">
        <v>55</v>
      </c>
      <c r="B39" s="225"/>
      <c r="C39" s="225"/>
      <c r="D39" s="225"/>
      <c r="E39" s="225"/>
      <c r="F39" s="225"/>
    </row>
    <row r="40" spans="1:6" x14ac:dyDescent="0.3">
      <c r="A40" s="73"/>
    </row>
    <row r="42" spans="1:6" x14ac:dyDescent="0.3">
      <c r="A42" s="73"/>
    </row>
  </sheetData>
  <mergeCells count="27">
    <mergeCell ref="A39:F39"/>
    <mergeCell ref="A29:F29"/>
    <mergeCell ref="A30:F30"/>
    <mergeCell ref="A31:F31"/>
    <mergeCell ref="A32:F32"/>
    <mergeCell ref="A36:F36"/>
    <mergeCell ref="A38:F38"/>
    <mergeCell ref="A23:F2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0:D20"/>
    <mergeCell ref="C21:D21"/>
    <mergeCell ref="A8:F8"/>
    <mergeCell ref="C18:D18"/>
    <mergeCell ref="C19:D19"/>
    <mergeCell ref="A1:I1"/>
    <mergeCell ref="A2:I2"/>
    <mergeCell ref="A4:B4"/>
    <mergeCell ref="A6:I6"/>
    <mergeCell ref="C7:D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7" workbookViewId="0">
      <selection activeCell="A7"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35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74"/>
      <c r="E4" s="1" t="s">
        <v>176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0.28999999999999998</v>
      </c>
      <c r="F17" s="12">
        <v>1336.69</v>
      </c>
    </row>
    <row r="18" spans="1:11" ht="29.25" customHeight="1" x14ac:dyDescent="0.3">
      <c r="A18" s="8" t="s">
        <v>177</v>
      </c>
      <c r="B18" s="11" t="s">
        <v>16</v>
      </c>
      <c r="C18" s="217" t="s">
        <v>44</v>
      </c>
      <c r="D18" s="218"/>
      <c r="E18" s="10">
        <v>0.25</v>
      </c>
      <c r="F18" s="10">
        <v>1153.25</v>
      </c>
    </row>
    <row r="19" spans="1:11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v>3134.39</v>
      </c>
    </row>
    <row r="20" spans="1:11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3.76*4613</f>
        <v>17344.879999999997</v>
      </c>
    </row>
    <row r="21" spans="1:11" x14ac:dyDescent="0.3">
      <c r="A21" s="14" t="s">
        <v>20</v>
      </c>
      <c r="B21" s="15"/>
      <c r="C21" s="15"/>
      <c r="D21" s="16"/>
      <c r="F21" s="39">
        <f>SUM(F9:F20)</f>
        <v>75096.11</v>
      </c>
    </row>
    <row r="22" spans="1:11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1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1" ht="27.75" customHeight="1" x14ac:dyDescent="0.3">
      <c r="A24" s="50" t="s">
        <v>179</v>
      </c>
      <c r="B24" s="48" t="s">
        <v>178</v>
      </c>
      <c r="C24" s="48" t="s">
        <v>47</v>
      </c>
      <c r="D24" s="48">
        <v>6</v>
      </c>
      <c r="E24" s="53">
        <f>F24/D24</f>
        <v>812</v>
      </c>
      <c r="F24" s="53">
        <v>4872</v>
      </c>
    </row>
    <row r="25" spans="1:11" ht="119.25" customHeight="1" x14ac:dyDescent="0.3">
      <c r="A25" s="50" t="s">
        <v>180</v>
      </c>
      <c r="B25" s="48" t="s">
        <v>178</v>
      </c>
      <c r="C25" s="48" t="s">
        <v>183</v>
      </c>
      <c r="D25" s="48">
        <v>4</v>
      </c>
      <c r="E25" s="53">
        <f>F25/D25</f>
        <v>950.25</v>
      </c>
      <c r="F25" s="53">
        <v>3801</v>
      </c>
    </row>
    <row r="26" spans="1:11" ht="122.25" customHeight="1" x14ac:dyDescent="0.3">
      <c r="A26" s="50" t="s">
        <v>181</v>
      </c>
      <c r="B26" s="48" t="s">
        <v>178</v>
      </c>
      <c r="C26" s="48" t="s">
        <v>183</v>
      </c>
      <c r="D26" s="48">
        <v>1</v>
      </c>
      <c r="E26" s="53">
        <v>4014</v>
      </c>
      <c r="F26" s="53">
        <v>4014</v>
      </c>
    </row>
    <row r="27" spans="1:11" ht="18" customHeight="1" x14ac:dyDescent="0.3">
      <c r="A27" s="22" t="s">
        <v>21</v>
      </c>
      <c r="B27" s="5"/>
      <c r="C27" s="5"/>
      <c r="D27" s="5"/>
      <c r="E27" s="6"/>
      <c r="F27" s="6">
        <f>F24+F25+F26</f>
        <v>12687</v>
      </c>
    </row>
    <row r="28" spans="1:11" ht="48.75" customHeight="1" x14ac:dyDescent="0.3">
      <c r="A28" s="230" t="s">
        <v>182</v>
      </c>
      <c r="B28" s="230"/>
      <c r="C28" s="230"/>
      <c r="D28" s="230"/>
      <c r="E28" s="230"/>
      <c r="F28" s="230"/>
      <c r="K28" s="34"/>
    </row>
    <row r="29" spans="1:11" ht="33.75" customHeight="1" x14ac:dyDescent="0.3">
      <c r="A29" s="231" t="s">
        <v>7</v>
      </c>
      <c r="B29" s="231"/>
      <c r="C29" s="231"/>
      <c r="D29" s="231"/>
      <c r="E29" s="231"/>
      <c r="F29" s="231"/>
    </row>
    <row r="30" spans="1:11" x14ac:dyDescent="0.3">
      <c r="A30" s="232" t="s">
        <v>8</v>
      </c>
      <c r="B30" s="232"/>
      <c r="C30" s="232"/>
      <c r="D30" s="232"/>
      <c r="E30" s="232"/>
      <c r="F30" s="232"/>
    </row>
    <row r="31" spans="1:11" ht="32.25" customHeight="1" x14ac:dyDescent="0.3">
      <c r="A31" s="231" t="s">
        <v>9</v>
      </c>
      <c r="B31" s="231"/>
      <c r="C31" s="231"/>
      <c r="D31" s="231"/>
      <c r="E31" s="231"/>
      <c r="F31" s="231"/>
    </row>
    <row r="32" spans="1:11" x14ac:dyDescent="0.3">
      <c r="A32" s="75"/>
      <c r="B32" s="75"/>
      <c r="C32" s="75"/>
      <c r="D32" s="75"/>
      <c r="E32" s="75"/>
      <c r="F32" s="75"/>
    </row>
    <row r="33" spans="1:6" x14ac:dyDescent="0.3">
      <c r="A33" s="4"/>
      <c r="B33" s="4" t="s">
        <v>10</v>
      </c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  <row r="35" spans="1:6" x14ac:dyDescent="0.3">
      <c r="A35" s="225" t="s">
        <v>11</v>
      </c>
      <c r="B35" s="225"/>
      <c r="C35" s="225"/>
      <c r="D35" s="225"/>
      <c r="E35" s="225"/>
      <c r="F35" s="225"/>
    </row>
    <row r="36" spans="1:6" x14ac:dyDescent="0.3">
      <c r="A36" s="75"/>
      <c r="B36" s="75"/>
      <c r="C36" s="75"/>
      <c r="D36" s="75"/>
      <c r="E36" s="75"/>
      <c r="F36" s="75"/>
    </row>
    <row r="37" spans="1:6" x14ac:dyDescent="0.3">
      <c r="A37" s="225" t="s">
        <v>54</v>
      </c>
      <c r="B37" s="225"/>
      <c r="C37" s="225"/>
      <c r="D37" s="225"/>
      <c r="E37" s="225"/>
      <c r="F37" s="225"/>
    </row>
    <row r="38" spans="1:6" x14ac:dyDescent="0.3">
      <c r="A38" s="225" t="s">
        <v>55</v>
      </c>
      <c r="B38" s="225"/>
      <c r="C38" s="225"/>
      <c r="D38" s="225"/>
      <c r="E38" s="225"/>
      <c r="F38" s="225"/>
    </row>
    <row r="39" spans="1:6" x14ac:dyDescent="0.3">
      <c r="A39" s="74"/>
    </row>
    <row r="41" spans="1:6" x14ac:dyDescent="0.3">
      <c r="A41" s="74"/>
    </row>
  </sheetData>
  <mergeCells count="26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A35:F35"/>
    <mergeCell ref="A37:F37"/>
    <mergeCell ref="A38:F38"/>
    <mergeCell ref="C20:D20"/>
    <mergeCell ref="A22:F22"/>
    <mergeCell ref="A28:F28"/>
    <mergeCell ref="A29:F29"/>
    <mergeCell ref="A30:F30"/>
    <mergeCell ref="A31:F3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3" workbookViewId="0">
      <selection activeCell="C15" sqref="C15:D1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34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77"/>
      <c r="E4" s="1" t="s">
        <v>187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149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E9*4613</f>
        <v>16468.41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9548.91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10840.550000000001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10010.209999999999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3874.92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599.69000000000005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184.52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599.69000000000005</v>
      </c>
    </row>
    <row r="17" spans="1:11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0.28999999999999998</v>
      </c>
      <c r="F17" s="12">
        <v>1328.49</v>
      </c>
    </row>
    <row r="18" spans="1:11" ht="19.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0.25</v>
      </c>
      <c r="F18" s="10">
        <v>1149.45</v>
      </c>
    </row>
    <row r="19" spans="1:11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f>F19/4613</f>
        <v>-0.15615651419900281</v>
      </c>
      <c r="F19" s="12">
        <v>-720.35</v>
      </c>
    </row>
    <row r="20" spans="1:11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3.76*4613</f>
        <v>17344.879999999997</v>
      </c>
    </row>
    <row r="21" spans="1:11" x14ac:dyDescent="0.3">
      <c r="A21" s="14" t="s">
        <v>20</v>
      </c>
      <c r="B21" s="15"/>
      <c r="C21" s="15"/>
      <c r="D21" s="16"/>
      <c r="F21" s="39">
        <f>SUM(F9:F20)</f>
        <v>71229.37</v>
      </c>
    </row>
    <row r="22" spans="1:11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1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1" ht="29.25" customHeight="1" x14ac:dyDescent="0.3">
      <c r="A24" s="50" t="s">
        <v>188</v>
      </c>
      <c r="B24" s="48" t="s">
        <v>189</v>
      </c>
      <c r="C24" s="48" t="s">
        <v>86</v>
      </c>
      <c r="D24" s="48">
        <v>578</v>
      </c>
      <c r="E24" s="53">
        <f>F24/D24</f>
        <v>307.02422145328723</v>
      </c>
      <c r="F24" s="53">
        <v>177460</v>
      </c>
    </row>
    <row r="25" spans="1:11" ht="16.5" customHeight="1" x14ac:dyDescent="0.25">
      <c r="A25" s="50"/>
      <c r="B25" s="48"/>
      <c r="C25" s="48"/>
      <c r="D25" s="48"/>
      <c r="E25" s="53"/>
      <c r="F25" s="53"/>
    </row>
    <row r="26" spans="1:11" ht="18" customHeight="1" x14ac:dyDescent="0.3">
      <c r="A26" s="22" t="s">
        <v>21</v>
      </c>
      <c r="B26" s="5"/>
      <c r="C26" s="5"/>
      <c r="D26" s="5"/>
      <c r="E26" s="6"/>
      <c r="F26" s="6">
        <f>F24</f>
        <v>177460</v>
      </c>
    </row>
    <row r="27" spans="1:11" ht="63.75" customHeight="1" x14ac:dyDescent="0.3">
      <c r="A27" s="230" t="s">
        <v>192</v>
      </c>
      <c r="B27" s="230"/>
      <c r="C27" s="230"/>
      <c r="D27" s="230"/>
      <c r="E27" s="230"/>
      <c r="F27" s="230"/>
      <c r="K27" s="34">
        <f>F21+F26</f>
        <v>248689.37</v>
      </c>
    </row>
    <row r="28" spans="1:11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1" x14ac:dyDescent="0.3">
      <c r="A29" s="232" t="s">
        <v>8</v>
      </c>
      <c r="B29" s="232"/>
      <c r="C29" s="232"/>
      <c r="D29" s="232"/>
      <c r="E29" s="232"/>
      <c r="F29" s="232"/>
    </row>
    <row r="30" spans="1:11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1" ht="15" x14ac:dyDescent="0.25">
      <c r="A31" s="78"/>
      <c r="B31" s="78"/>
      <c r="C31" s="78"/>
      <c r="D31" s="78"/>
      <c r="E31" s="78"/>
      <c r="F31" s="78"/>
    </row>
    <row r="32" spans="1:11" x14ac:dyDescent="0.3">
      <c r="A32" s="4"/>
      <c r="B32" s="4" t="s">
        <v>10</v>
      </c>
      <c r="C32" s="4"/>
      <c r="D32" s="4"/>
      <c r="E32" s="4"/>
      <c r="F32" s="4"/>
    </row>
    <row r="33" spans="1:6" ht="15" x14ac:dyDescent="0.25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ht="15" x14ac:dyDescent="0.25">
      <c r="A35" s="78"/>
      <c r="B35" s="78"/>
      <c r="C35" s="78"/>
      <c r="D35" s="78"/>
      <c r="E35" s="78"/>
      <c r="F35" s="78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ht="15" x14ac:dyDescent="0.25">
      <c r="A38" s="77"/>
    </row>
    <row r="40" spans="1:6" ht="15" x14ac:dyDescent="0.25">
      <c r="A40" s="77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6:F36"/>
    <mergeCell ref="A37:F37"/>
    <mergeCell ref="A22:F22"/>
    <mergeCell ref="A27:F27"/>
    <mergeCell ref="A28:F28"/>
    <mergeCell ref="A29:F29"/>
    <mergeCell ref="A30:F30"/>
    <mergeCell ref="A34:F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A18" sqref="A18:F1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12.33203125" customWidth="1"/>
  </cols>
  <sheetData>
    <row r="1" spans="1:12" x14ac:dyDescent="0.3">
      <c r="A1" s="219" t="s">
        <v>186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207</v>
      </c>
      <c r="B2" s="220"/>
      <c r="C2" s="220"/>
      <c r="D2" s="220"/>
      <c r="E2" s="220"/>
      <c r="F2" s="220"/>
      <c r="G2" s="220"/>
      <c r="H2" s="220"/>
      <c r="I2" s="220"/>
    </row>
    <row r="4" spans="1:12" ht="110.25" customHeight="1" x14ac:dyDescent="0.3">
      <c r="A4" s="7" t="s">
        <v>3</v>
      </c>
      <c r="B4" s="7" t="s">
        <v>24</v>
      </c>
      <c r="C4" s="223" t="s">
        <v>4</v>
      </c>
      <c r="D4" s="224"/>
      <c r="E4" s="7" t="s">
        <v>5</v>
      </c>
      <c r="F4" s="7" t="s">
        <v>6</v>
      </c>
    </row>
    <row r="5" spans="1:12" ht="15" customHeight="1" x14ac:dyDescent="0.3">
      <c r="A5" s="226" t="s">
        <v>149</v>
      </c>
      <c r="B5" s="227"/>
      <c r="C5" s="227"/>
      <c r="D5" s="227"/>
      <c r="E5" s="227"/>
      <c r="F5" s="228"/>
    </row>
    <row r="6" spans="1:12" ht="58.5" customHeight="1" x14ac:dyDescent="0.3">
      <c r="A6" s="234" t="s">
        <v>67</v>
      </c>
      <c r="B6" s="240" t="s">
        <v>12</v>
      </c>
      <c r="C6" s="236" t="s">
        <v>13</v>
      </c>
      <c r="D6" s="237"/>
      <c r="E6" s="10">
        <v>3.57</v>
      </c>
      <c r="F6" s="10">
        <f>'январь 2017г'!F9+'февраль 2017г.'!F9+'март 2017г'!F9+'апрель 2017г'!F9+'май 2017г'!F9+'июнь 2017г. '!F9+'июль 2017г.'!F9+'авг 2017г'!F9+'сент 2017г '!F9+'окт 2017г'!F9+'нояб 2017г'!F9+'дек 2017г'!F9</f>
        <v>197620.92</v>
      </c>
    </row>
    <row r="7" spans="1:12" ht="72" customHeight="1" x14ac:dyDescent="0.3">
      <c r="A7" s="235"/>
      <c r="B7" s="241"/>
      <c r="C7" s="238"/>
      <c r="D7" s="239"/>
      <c r="E7" s="83" t="s">
        <v>191</v>
      </c>
      <c r="F7" s="33"/>
    </row>
    <row r="8" spans="1:12" ht="28.5" customHeight="1" x14ac:dyDescent="0.3">
      <c r="A8" s="8" t="s">
        <v>68</v>
      </c>
      <c r="B8" s="9" t="s">
        <v>12</v>
      </c>
      <c r="C8" s="217" t="s">
        <v>13</v>
      </c>
      <c r="D8" s="218"/>
      <c r="E8" s="33">
        <v>2.0699999999999998</v>
      </c>
      <c r="F8" s="33">
        <f>'январь 2017г'!F10+'февраль 2017г.'!F10+'март 2017г'!F10+'апрель 2017г'!F10+'май 2017г'!F10+'июнь 2017г. '!F10+'июль 2017г.'!F10+'авг 2017г'!F10+'сент 2017г '!F10+'окт 2017г'!F10+'нояб 2017г'!F10+'дек 2017г'!F10</f>
        <v>114586.92000000003</v>
      </c>
      <c r="L8" s="34"/>
    </row>
    <row r="9" spans="1:12" ht="28.8" x14ac:dyDescent="0.3">
      <c r="A9" s="8" t="s">
        <v>48</v>
      </c>
      <c r="B9" s="9" t="s">
        <v>14</v>
      </c>
      <c r="C9" s="217" t="s">
        <v>13</v>
      </c>
      <c r="D9" s="218"/>
      <c r="E9" s="25">
        <v>2.35</v>
      </c>
      <c r="F9" s="53">
        <f>'январь 2017г'!F11+'февраль 2017г.'!F11+'март 2017г'!F11+'апрель 2017г'!F11+'май 2017г'!F11+'июнь 2017г. '!F11+'июль 2017г.'!F11+'авг 2017г'!F11+'сент 2017г '!F11+'окт 2017г'!F11+'нояб 2017г'!F11+'дек 2017г'!F11</f>
        <v>130086.60000000002</v>
      </c>
      <c r="K9" s="34"/>
      <c r="L9" s="34"/>
    </row>
    <row r="10" spans="1:12" ht="43.2" x14ac:dyDescent="0.3">
      <c r="A10" s="8" t="s">
        <v>49</v>
      </c>
      <c r="B10" s="5" t="s">
        <v>25</v>
      </c>
      <c r="C10" s="217" t="s">
        <v>13</v>
      </c>
      <c r="D10" s="218"/>
      <c r="E10" s="40">
        <v>2.17</v>
      </c>
      <c r="F10" s="40">
        <f>'январь 2017г'!F12+'февраль 2017г.'!F12+'март 2017г'!F12+'апрель 2017г'!F12+'май 2017г'!F12+'июнь 2017г. '!F12+'июль 2017г.'!F12+'авг 2017г'!F12+'сент 2017г '!F12+'окт 2017г'!F12+'нояб 2017г'!F12+'дек 2017г'!F12</f>
        <v>120122.51999999996</v>
      </c>
    </row>
    <row r="11" spans="1:12" ht="28.8" x14ac:dyDescent="0.3">
      <c r="A11" s="8" t="s">
        <v>50</v>
      </c>
      <c r="B11" s="5" t="s">
        <v>25</v>
      </c>
      <c r="C11" s="217" t="s">
        <v>44</v>
      </c>
      <c r="D11" s="218"/>
      <c r="E11" s="40">
        <v>0.84</v>
      </c>
      <c r="F11" s="40">
        <f>'январь 2017г'!F13+'февраль 2017г.'!F13+'март 2017г'!F13+'апрель 2017г'!F13+'май 2017г'!F13+'июнь 2017г. '!F13+'июль 2017г.'!F13+'авг 2017г'!F13+'сент 2017г '!F13+'окт 2017г'!F13+'нояб 2017г'!F13+'дек 2017г'!F13</f>
        <v>46499.039999999986</v>
      </c>
    </row>
    <row r="12" spans="1:12" ht="28.8" x14ac:dyDescent="0.3">
      <c r="A12" s="8" t="s">
        <v>15</v>
      </c>
      <c r="B12" s="11" t="s">
        <v>16</v>
      </c>
      <c r="C12" s="217" t="s">
        <v>13</v>
      </c>
      <c r="D12" s="218"/>
      <c r="E12" s="10">
        <v>0.13</v>
      </c>
      <c r="F12" s="10">
        <f>'январь 2017г'!F14+'февраль 2017г.'!F14+'март 2017г'!F14+'апрель 2017г'!F14+'май 2017г'!F14+'июнь 2017г. '!F14+'июль 2017г.'!F14+'авг 2017г'!F14+'сент 2017г '!F14+'окт 2017г'!F16+'нояб 2017г'!F14+'дек 2017г'!F14</f>
        <v>7196.2800000000025</v>
      </c>
    </row>
    <row r="13" spans="1:12" ht="45.75" customHeight="1" x14ac:dyDescent="0.3">
      <c r="A13" s="8" t="s">
        <v>43</v>
      </c>
      <c r="B13" s="11" t="s">
        <v>16</v>
      </c>
      <c r="C13" s="217" t="s">
        <v>44</v>
      </c>
      <c r="D13" s="233"/>
      <c r="E13" s="10">
        <v>0.04</v>
      </c>
      <c r="F13" s="10">
        <f>'январь 2017г'!F15+'февраль 2017г.'!F15+'март 2017г'!F15+'апрель 2017г'!F15+'май 2017г'!F15+'июнь 2017г. '!F15+'июль 2017г.'!F15+'авг 2017г'!F15+'сент 2017г '!F15+'окт 2017г'!F15+'нояб 2017г'!F15+'дек 2017г'!F15</f>
        <v>2214.2400000000002</v>
      </c>
    </row>
    <row r="14" spans="1:12" ht="30" customHeight="1" x14ac:dyDescent="0.3">
      <c r="A14" s="8" t="s">
        <v>45</v>
      </c>
      <c r="B14" s="11" t="s">
        <v>16</v>
      </c>
      <c r="C14" s="217" t="s">
        <v>44</v>
      </c>
      <c r="D14" s="218"/>
      <c r="E14" s="12">
        <v>0.13</v>
      </c>
      <c r="F14" s="12">
        <f>'январь 2017г'!F16+'февраль 2017г.'!F16+'март 2017г'!F16+'апрель 2017г'!F16+'май 2017г'!F16+'июнь 2017г. '!F16+'июль 2017г.'!F16+'авг 2017г'!F16+'сент 2017г '!F16+'окт 2017г'!F16+'нояб 2017г'!F16+'дек 2017г'!F16</f>
        <v>7196.2800000000025</v>
      </c>
    </row>
    <row r="15" spans="1:12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0.28999999999999998</v>
      </c>
      <c r="F15" s="12">
        <f>'январь 2017г'!F17+'февраль 2017г.'!F17+'март 2017г'!F17+'апрель 2017г'!F17+'май 2017г'!F17+'июнь 2017г. '!F17+'июль 2017г.'!F17+'авг 2017г'!F17+'сент 2017г '!F17+'окт 2017г'!F17+'нояб 2017г'!F17+'дек 2017г'!F17</f>
        <v>21415.010000000002</v>
      </c>
    </row>
    <row r="16" spans="1:12" ht="17.2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0.25</v>
      </c>
      <c r="F16" s="10">
        <f>'окт 2017г'!F18+'окт 2017г'!F19+'нояб 2017г'!F18+'дек 2017г'!F18</f>
        <v>4609.2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0.68</v>
      </c>
      <c r="F17" s="12">
        <f>'январь 2017г'!F18+'февраль 2017г.'!F18+'март 2017г'!F18+'апрель 2017г'!F18+'май 2017г'!F18+'июнь 2017г. '!F18+'июль 2017г.'!F18+'авг 2017г'!F18+'сент 2017г '!F18+'окт 2017г'!F20+'нояб 2017г'!F19+'дек 2017г'!F19</f>
        <v>37134.18</v>
      </c>
    </row>
    <row r="18" spans="1:12" ht="63.75" customHeight="1" x14ac:dyDescent="0.3">
      <c r="A18" s="69" t="s">
        <v>143</v>
      </c>
      <c r="B18" s="24" t="s">
        <v>89</v>
      </c>
      <c r="C18" s="217" t="s">
        <v>94</v>
      </c>
      <c r="D18" s="218"/>
      <c r="E18" s="10">
        <v>2000</v>
      </c>
      <c r="F18" s="10">
        <v>4000</v>
      </c>
    </row>
    <row r="19" spans="1:12" ht="18" customHeight="1" x14ac:dyDescent="0.3">
      <c r="A19" s="234" t="s">
        <v>29</v>
      </c>
      <c r="B19" s="234" t="s">
        <v>26</v>
      </c>
      <c r="C19" s="236" t="s">
        <v>30</v>
      </c>
      <c r="D19" s="237"/>
      <c r="E19" s="13">
        <v>545.89</v>
      </c>
      <c r="F19" s="12">
        <f>'январь 2017г'!F19+'февраль 2017г.'!F19+'март 2017г'!F19+'апрель 2017г'!F19+'май 2017г'!F19+'июнь 2017г. '!F20+'июль 2017г.'!F19+'авг 2017г'!F19+'сент 2017г '!F19+'окт 2017г'!F21+'нояб 2017г'!F20+'дек 2017г'!F20</f>
        <v>208138.56000000003</v>
      </c>
    </row>
    <row r="20" spans="1:12" ht="58.5" customHeight="1" x14ac:dyDescent="0.3">
      <c r="A20" s="235"/>
      <c r="B20" s="235"/>
      <c r="C20" s="238"/>
      <c r="D20" s="239"/>
      <c r="E20" s="82" t="s">
        <v>191</v>
      </c>
      <c r="F20" s="12"/>
    </row>
    <row r="21" spans="1:12" x14ac:dyDescent="0.3">
      <c r="A21" s="79" t="s">
        <v>20</v>
      </c>
      <c r="B21" s="80"/>
      <c r="C21" s="80"/>
      <c r="D21" s="81"/>
      <c r="F21" s="39">
        <f>SUM(F6:F19)</f>
        <v>900819.75000000012</v>
      </c>
      <c r="L21" s="34">
        <f>'январь 2017г'!F20+'февраль 2017г.'!F20+'март 2017г'!F20+'апрель 2017г'!F20+'май 2017г'!F20+'июнь 2017г. '!F21+'июль 2017г.'!F20+'авг 2017г'!F20+'сент 2017г '!F20+'окт 2017г'!F22+'нояб 2017г'!F21</f>
        <v>829590.38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  <c r="L22" s="34">
        <f>L21+'дек 2017г'!F21</f>
        <v>900819.75</v>
      </c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28.8" x14ac:dyDescent="0.3">
      <c r="A24" s="50" t="s">
        <v>132</v>
      </c>
      <c r="B24" s="52" t="s">
        <v>133</v>
      </c>
      <c r="C24" s="48" t="s">
        <v>47</v>
      </c>
      <c r="D24" s="48">
        <v>1</v>
      </c>
      <c r="E24" s="53">
        <v>2921</v>
      </c>
      <c r="F24" s="53">
        <v>2921</v>
      </c>
    </row>
    <row r="25" spans="1:12" x14ac:dyDescent="0.3">
      <c r="A25" s="68" t="s">
        <v>140</v>
      </c>
      <c r="B25" s="52" t="s">
        <v>141</v>
      </c>
      <c r="C25" s="48" t="s">
        <v>47</v>
      </c>
      <c r="D25" s="48">
        <v>1</v>
      </c>
      <c r="E25" s="53">
        <v>1102</v>
      </c>
      <c r="F25" s="53">
        <v>1102</v>
      </c>
    </row>
    <row r="26" spans="1:12" ht="28.8" x14ac:dyDescent="0.3">
      <c r="A26" s="50" t="s">
        <v>138</v>
      </c>
      <c r="B26" s="48" t="s">
        <v>139</v>
      </c>
      <c r="C26" s="48" t="s">
        <v>47</v>
      </c>
      <c r="D26" s="48">
        <v>1</v>
      </c>
      <c r="E26" s="53">
        <f t="shared" ref="E26:E38" si="0">F26/D26</f>
        <v>4059</v>
      </c>
      <c r="F26" s="53">
        <v>4059</v>
      </c>
    </row>
    <row r="27" spans="1:12" ht="91.5" customHeight="1" x14ac:dyDescent="0.3">
      <c r="A27" s="50" t="s">
        <v>145</v>
      </c>
      <c r="B27" s="48" t="s">
        <v>144</v>
      </c>
      <c r="C27" s="48" t="s">
        <v>47</v>
      </c>
      <c r="D27" s="48">
        <v>3</v>
      </c>
      <c r="E27" s="53">
        <f t="shared" si="0"/>
        <v>9511.6666666666661</v>
      </c>
      <c r="F27" s="53">
        <v>28535</v>
      </c>
    </row>
    <row r="28" spans="1:12" ht="57.6" x14ac:dyDescent="0.3">
      <c r="A28" s="50" t="s">
        <v>146</v>
      </c>
      <c r="B28" s="48" t="s">
        <v>144</v>
      </c>
      <c r="C28" s="48" t="s">
        <v>47</v>
      </c>
      <c r="D28" s="48">
        <v>5</v>
      </c>
      <c r="E28" s="53">
        <f t="shared" si="0"/>
        <v>756.2</v>
      </c>
      <c r="F28" s="53">
        <v>3781</v>
      </c>
    </row>
    <row r="29" spans="1:12" ht="60.75" customHeight="1" x14ac:dyDescent="0.3">
      <c r="A29" s="50" t="s">
        <v>158</v>
      </c>
      <c r="B29" s="48" t="s">
        <v>159</v>
      </c>
      <c r="C29" s="48" t="s">
        <v>86</v>
      </c>
      <c r="D29" s="48">
        <v>34.5</v>
      </c>
      <c r="E29" s="53">
        <f t="shared" si="0"/>
        <v>1279.7101449275362</v>
      </c>
      <c r="F29" s="53">
        <v>44150</v>
      </c>
    </row>
    <row r="30" spans="1:12" ht="28.8" x14ac:dyDescent="0.3">
      <c r="A30" s="50" t="s">
        <v>160</v>
      </c>
      <c r="B30" s="48" t="s">
        <v>159</v>
      </c>
      <c r="C30" s="48" t="s">
        <v>27</v>
      </c>
      <c r="D30" s="48">
        <v>60</v>
      </c>
      <c r="E30" s="53">
        <f t="shared" si="0"/>
        <v>385</v>
      </c>
      <c r="F30" s="53">
        <v>23100</v>
      </c>
    </row>
    <row r="31" spans="1:12" ht="47.25" customHeight="1" x14ac:dyDescent="0.3">
      <c r="A31" s="50" t="s">
        <v>163</v>
      </c>
      <c r="B31" s="48" t="s">
        <v>164</v>
      </c>
      <c r="C31" s="48" t="s">
        <v>47</v>
      </c>
      <c r="D31" s="48">
        <v>1</v>
      </c>
      <c r="E31" s="53">
        <f t="shared" si="0"/>
        <v>550</v>
      </c>
      <c r="F31" s="53">
        <v>550</v>
      </c>
    </row>
    <row r="32" spans="1:12" ht="134.25" customHeight="1" x14ac:dyDescent="0.3">
      <c r="A32" s="50" t="s">
        <v>165</v>
      </c>
      <c r="B32" s="48" t="s">
        <v>164</v>
      </c>
      <c r="C32" s="48" t="s">
        <v>47</v>
      </c>
      <c r="D32" s="48">
        <v>1</v>
      </c>
      <c r="E32" s="53">
        <f t="shared" si="0"/>
        <v>3194</v>
      </c>
      <c r="F32" s="53">
        <v>3194</v>
      </c>
    </row>
    <row r="33" spans="1:12" ht="46.5" customHeight="1" x14ac:dyDescent="0.3">
      <c r="A33" s="50" t="s">
        <v>166</v>
      </c>
      <c r="B33" s="48" t="s">
        <v>164</v>
      </c>
      <c r="C33" s="48" t="s">
        <v>47</v>
      </c>
      <c r="D33" s="48">
        <v>1</v>
      </c>
      <c r="E33" s="53">
        <f t="shared" si="0"/>
        <v>33000</v>
      </c>
      <c r="F33" s="53">
        <v>33000</v>
      </c>
    </row>
    <row r="34" spans="1:12" ht="63.75" customHeight="1" x14ac:dyDescent="0.3">
      <c r="A34" s="50" t="s">
        <v>170</v>
      </c>
      <c r="B34" s="48" t="s">
        <v>169</v>
      </c>
      <c r="C34" s="48" t="s">
        <v>47</v>
      </c>
      <c r="D34" s="48">
        <v>5</v>
      </c>
      <c r="E34" s="53">
        <f t="shared" si="0"/>
        <v>5130.2</v>
      </c>
      <c r="F34" s="53">
        <v>25651</v>
      </c>
    </row>
    <row r="35" spans="1:12" ht="90.75" customHeight="1" x14ac:dyDescent="0.3">
      <c r="A35" s="50" t="s">
        <v>171</v>
      </c>
      <c r="B35" s="48" t="s">
        <v>169</v>
      </c>
      <c r="C35" s="48" t="s">
        <v>172</v>
      </c>
      <c r="D35" s="48">
        <v>82.8</v>
      </c>
      <c r="E35" s="53">
        <f t="shared" si="0"/>
        <v>20.398550724637683</v>
      </c>
      <c r="F35" s="53">
        <v>1689</v>
      </c>
    </row>
    <row r="36" spans="1:12" ht="62.25" customHeight="1" x14ac:dyDescent="0.3">
      <c r="A36" s="50" t="s">
        <v>173</v>
      </c>
      <c r="B36" s="48" t="s">
        <v>169</v>
      </c>
      <c r="C36" s="48" t="s">
        <v>86</v>
      </c>
      <c r="D36" s="48">
        <v>55</v>
      </c>
      <c r="E36" s="53">
        <f t="shared" si="0"/>
        <v>964.87272727272727</v>
      </c>
      <c r="F36" s="53">
        <v>53068</v>
      </c>
    </row>
    <row r="37" spans="1:12" ht="27.75" customHeight="1" x14ac:dyDescent="0.3">
      <c r="A37" s="50" t="s">
        <v>179</v>
      </c>
      <c r="B37" s="48" t="s">
        <v>178</v>
      </c>
      <c r="C37" s="48" t="s">
        <v>47</v>
      </c>
      <c r="D37" s="48">
        <v>6</v>
      </c>
      <c r="E37" s="53">
        <f t="shared" si="0"/>
        <v>812</v>
      </c>
      <c r="F37" s="53">
        <v>4872</v>
      </c>
    </row>
    <row r="38" spans="1:12" ht="119.25" customHeight="1" x14ac:dyDescent="0.3">
      <c r="A38" s="50" t="s">
        <v>180</v>
      </c>
      <c r="B38" s="48" t="s">
        <v>178</v>
      </c>
      <c r="C38" s="48" t="s">
        <v>183</v>
      </c>
      <c r="D38" s="48">
        <v>4</v>
      </c>
      <c r="E38" s="53">
        <f t="shared" si="0"/>
        <v>950.25</v>
      </c>
      <c r="F38" s="53">
        <v>3801</v>
      </c>
    </row>
    <row r="39" spans="1:12" ht="122.25" customHeight="1" x14ac:dyDescent="0.3">
      <c r="A39" s="50" t="s">
        <v>181</v>
      </c>
      <c r="B39" s="48" t="s">
        <v>178</v>
      </c>
      <c r="C39" s="48" t="s">
        <v>183</v>
      </c>
      <c r="D39" s="48">
        <v>1</v>
      </c>
      <c r="E39" s="53">
        <v>4014</v>
      </c>
      <c r="F39" s="53">
        <v>4014</v>
      </c>
    </row>
    <row r="40" spans="1:12" ht="36" customHeight="1" x14ac:dyDescent="0.3">
      <c r="A40" s="50" t="s">
        <v>188</v>
      </c>
      <c r="B40" s="48" t="s">
        <v>189</v>
      </c>
      <c r="C40" s="48" t="s">
        <v>86</v>
      </c>
      <c r="D40" s="48">
        <v>578</v>
      </c>
      <c r="E40" s="53">
        <f>F40/D40</f>
        <v>307.02422145328723</v>
      </c>
      <c r="F40" s="53">
        <v>177460</v>
      </c>
    </row>
    <row r="41" spans="1:12" ht="18" customHeight="1" x14ac:dyDescent="0.3">
      <c r="A41" s="22" t="s">
        <v>21</v>
      </c>
      <c r="B41" s="5"/>
      <c r="C41" s="5"/>
      <c r="D41" s="5"/>
      <c r="E41" s="6"/>
      <c r="F41" s="6">
        <f>SUM(F24:F39)+'дек 2017г'!F26</f>
        <v>414947</v>
      </c>
      <c r="L41" s="34">
        <f>'февраль 2017г.'!F24+'апрель 2017г'!F24+'июнь 2017г. '!F25+'июль 2017г.'!F25+'авг 2017г'!F25+'сент 2017г '!F26+'окт 2017г'!F28+'нояб 2017г'!F27+'дек 2017г'!F26</f>
        <v>414947</v>
      </c>
    </row>
    <row r="42" spans="1:12" x14ac:dyDescent="0.3">
      <c r="A42" s="76"/>
    </row>
    <row r="43" spans="1:12" x14ac:dyDescent="0.3">
      <c r="A43" s="89" t="s">
        <v>202</v>
      </c>
    </row>
    <row r="44" spans="1:12" x14ac:dyDescent="0.3">
      <c r="A44" s="76"/>
    </row>
  </sheetData>
  <mergeCells count="22">
    <mergeCell ref="C12:D12"/>
    <mergeCell ref="A1:I1"/>
    <mergeCell ref="A2:I2"/>
    <mergeCell ref="C4:D4"/>
    <mergeCell ref="A5:F5"/>
    <mergeCell ref="C8:D8"/>
    <mergeCell ref="C9:D9"/>
    <mergeCell ref="C10:D10"/>
    <mergeCell ref="C11:D11"/>
    <mergeCell ref="A6:A7"/>
    <mergeCell ref="B6:B7"/>
    <mergeCell ref="C6:D7"/>
    <mergeCell ref="C18:D18"/>
    <mergeCell ref="A22:F22"/>
    <mergeCell ref="C13:D13"/>
    <mergeCell ref="C14:D14"/>
    <mergeCell ref="C15:D15"/>
    <mergeCell ref="C16:D16"/>
    <mergeCell ref="C17:D17"/>
    <mergeCell ref="A19:A20"/>
    <mergeCell ref="B19:B20"/>
    <mergeCell ref="C19:D2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9" workbookViewId="0">
      <selection activeCell="A15" sqref="A15:F1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84"/>
      <c r="E4" s="1" t="s">
        <v>193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3.76*4609.4</f>
        <v>17331.343999999997</v>
      </c>
    </row>
    <row r="21" spans="1:12" x14ac:dyDescent="0.3">
      <c r="A21" s="14" t="s">
        <v>20</v>
      </c>
      <c r="B21" s="15"/>
      <c r="C21" s="15"/>
      <c r="D21" s="16"/>
      <c r="F21" s="39">
        <f>SUM(F9:F20)</f>
        <v>74810.562000000005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28.8" x14ac:dyDescent="0.3">
      <c r="A24" s="86" t="s">
        <v>196</v>
      </c>
      <c r="B24" s="24" t="s">
        <v>195</v>
      </c>
      <c r="C24" s="24" t="s">
        <v>27</v>
      </c>
      <c r="D24" s="21">
        <v>11</v>
      </c>
      <c r="E24" s="40">
        <f>F24/D24</f>
        <v>1352.090909090909</v>
      </c>
      <c r="F24" s="24">
        <v>14873</v>
      </c>
    </row>
    <row r="25" spans="1:12" ht="43.5" customHeight="1" x14ac:dyDescent="0.3">
      <c r="A25" s="50" t="s">
        <v>194</v>
      </c>
      <c r="B25" s="48" t="s">
        <v>195</v>
      </c>
      <c r="C25" s="48" t="s">
        <v>28</v>
      </c>
      <c r="D25" s="48">
        <v>1</v>
      </c>
      <c r="E25" s="53">
        <v>1650</v>
      </c>
      <c r="F25" s="53">
        <v>1650</v>
      </c>
    </row>
    <row r="26" spans="1:12" ht="29.25" customHeight="1" x14ac:dyDescent="0.3">
      <c r="A26" s="50" t="s">
        <v>197</v>
      </c>
      <c r="B26" s="48" t="s">
        <v>195</v>
      </c>
      <c r="C26" s="48" t="s">
        <v>47</v>
      </c>
      <c r="D26" s="48">
        <v>1</v>
      </c>
      <c r="E26" s="53">
        <v>440</v>
      </c>
      <c r="F26" s="53">
        <v>440</v>
      </c>
    </row>
    <row r="27" spans="1:12" ht="18" customHeight="1" x14ac:dyDescent="0.3">
      <c r="A27" s="22" t="s">
        <v>21</v>
      </c>
      <c r="B27" s="5"/>
      <c r="C27" s="5"/>
      <c r="D27" s="5"/>
      <c r="E27" s="6"/>
      <c r="F27" s="6">
        <f>F24+F25+F26</f>
        <v>16963</v>
      </c>
    </row>
    <row r="28" spans="1:12" ht="48.75" customHeight="1" x14ac:dyDescent="0.3">
      <c r="A28" s="230" t="s">
        <v>200</v>
      </c>
      <c r="B28" s="230"/>
      <c r="C28" s="230"/>
      <c r="D28" s="230"/>
      <c r="E28" s="230"/>
      <c r="F28" s="230"/>
      <c r="K28" s="34">
        <f>F21+F27</f>
        <v>91773.562000000005</v>
      </c>
      <c r="L28" s="34"/>
    </row>
    <row r="29" spans="1:12" ht="33.75" customHeight="1" x14ac:dyDescent="0.3">
      <c r="A29" s="231" t="s">
        <v>7</v>
      </c>
      <c r="B29" s="231"/>
      <c r="C29" s="231"/>
      <c r="D29" s="231"/>
      <c r="E29" s="231"/>
      <c r="F29" s="231"/>
    </row>
    <row r="30" spans="1:12" x14ac:dyDescent="0.3">
      <c r="A30" s="232" t="s">
        <v>8</v>
      </c>
      <c r="B30" s="232"/>
      <c r="C30" s="232"/>
      <c r="D30" s="232"/>
      <c r="E30" s="232"/>
      <c r="F30" s="232"/>
    </row>
    <row r="31" spans="1:12" ht="32.25" customHeight="1" x14ac:dyDescent="0.3">
      <c r="A31" s="231" t="s">
        <v>9</v>
      </c>
      <c r="B31" s="231"/>
      <c r="C31" s="231"/>
      <c r="D31" s="231"/>
      <c r="E31" s="231"/>
      <c r="F31" s="231"/>
    </row>
    <row r="32" spans="1:12" x14ac:dyDescent="0.3">
      <c r="A32" s="85"/>
      <c r="B32" s="85"/>
      <c r="C32" s="85"/>
      <c r="D32" s="85"/>
      <c r="E32" s="85"/>
      <c r="F32" s="85"/>
    </row>
    <row r="33" spans="1:6" x14ac:dyDescent="0.3">
      <c r="A33" s="4"/>
      <c r="B33" s="4" t="s">
        <v>10</v>
      </c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  <row r="35" spans="1:6" x14ac:dyDescent="0.3">
      <c r="A35" s="225" t="s">
        <v>11</v>
      </c>
      <c r="B35" s="225"/>
      <c r="C35" s="225"/>
      <c r="D35" s="225"/>
      <c r="E35" s="225"/>
      <c r="F35" s="225"/>
    </row>
    <row r="36" spans="1:6" x14ac:dyDescent="0.3">
      <c r="A36" s="85"/>
      <c r="B36" s="85"/>
      <c r="C36" s="85"/>
      <c r="D36" s="85"/>
      <c r="E36" s="85"/>
      <c r="F36" s="85"/>
    </row>
    <row r="37" spans="1:6" x14ac:dyDescent="0.3">
      <c r="A37" s="225" t="s">
        <v>54</v>
      </c>
      <c r="B37" s="225"/>
      <c r="C37" s="225"/>
      <c r="D37" s="225"/>
      <c r="E37" s="225"/>
      <c r="F37" s="225"/>
    </row>
    <row r="38" spans="1:6" x14ac:dyDescent="0.3">
      <c r="A38" s="225" t="s">
        <v>55</v>
      </c>
      <c r="B38" s="225"/>
      <c r="C38" s="225"/>
      <c r="D38" s="225"/>
      <c r="E38" s="225"/>
      <c r="F38" s="225"/>
    </row>
    <row r="39" spans="1:6" x14ac:dyDescent="0.3">
      <c r="A39" s="84"/>
    </row>
    <row r="41" spans="1:6" x14ac:dyDescent="0.3">
      <c r="A41" s="84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7:F37"/>
    <mergeCell ref="A38:F38"/>
    <mergeCell ref="A22:F22"/>
    <mergeCell ref="A28:F28"/>
    <mergeCell ref="A29:F29"/>
    <mergeCell ref="A30:F30"/>
    <mergeCell ref="A31:F31"/>
    <mergeCell ref="A35:F3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84"/>
      <c r="E4" s="1" t="s">
        <v>199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3.76*4609.4</f>
        <v>17331.343999999997</v>
      </c>
    </row>
    <row r="21" spans="1:12" x14ac:dyDescent="0.3">
      <c r="A21" s="14" t="s">
        <v>20</v>
      </c>
      <c r="B21" s="15"/>
      <c r="C21" s="15"/>
      <c r="D21" s="16"/>
      <c r="F21" s="39">
        <f>SUM(F9:F20)</f>
        <v>74810.562000000005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15" x14ac:dyDescent="0.25">
      <c r="A24" s="86"/>
      <c r="B24" s="24"/>
      <c r="C24" s="24"/>
      <c r="D24" s="21"/>
      <c r="E24" s="40"/>
      <c r="F24" s="24"/>
    </row>
    <row r="25" spans="1:12" ht="18" customHeight="1" x14ac:dyDescent="0.3">
      <c r="A25" s="22" t="s">
        <v>21</v>
      </c>
      <c r="B25" s="5"/>
      <c r="C25" s="5"/>
      <c r="D25" s="5"/>
      <c r="E25" s="6"/>
      <c r="F25" s="6">
        <v>0</v>
      </c>
    </row>
    <row r="26" spans="1:12" ht="48.75" customHeight="1" x14ac:dyDescent="0.3">
      <c r="A26" s="230" t="s">
        <v>201</v>
      </c>
      <c r="B26" s="230"/>
      <c r="C26" s="230"/>
      <c r="D26" s="230"/>
      <c r="E26" s="230"/>
      <c r="F26" s="230"/>
      <c r="K26" s="34">
        <f>F21+F25</f>
        <v>74810.562000000005</v>
      </c>
      <c r="L26" s="34"/>
    </row>
    <row r="27" spans="1:12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2" x14ac:dyDescent="0.3">
      <c r="A28" s="232" t="s">
        <v>8</v>
      </c>
      <c r="B28" s="232"/>
      <c r="C28" s="232"/>
      <c r="D28" s="232"/>
      <c r="E28" s="232"/>
      <c r="F28" s="232"/>
    </row>
    <row r="29" spans="1:12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2" x14ac:dyDescent="0.3">
      <c r="A30" s="85"/>
      <c r="B30" s="85"/>
      <c r="C30" s="85"/>
      <c r="D30" s="85"/>
      <c r="E30" s="85"/>
      <c r="F30" s="85"/>
    </row>
    <row r="31" spans="1:12" x14ac:dyDescent="0.3">
      <c r="A31" s="4"/>
      <c r="B31" s="4" t="s">
        <v>10</v>
      </c>
      <c r="C31" s="4"/>
      <c r="D31" s="4"/>
      <c r="E31" s="4"/>
      <c r="F31" s="4"/>
    </row>
    <row r="32" spans="1:12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85"/>
      <c r="B34" s="85"/>
      <c r="C34" s="85"/>
      <c r="D34" s="85"/>
      <c r="E34" s="85"/>
      <c r="F34" s="85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84"/>
    </row>
    <row r="39" spans="1:6" x14ac:dyDescent="0.3">
      <c r="A39" s="84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5:F35"/>
    <mergeCell ref="A36:F36"/>
    <mergeCell ref="A22:F22"/>
    <mergeCell ref="A26:F26"/>
    <mergeCell ref="A27:F27"/>
    <mergeCell ref="A28:F28"/>
    <mergeCell ref="A29:F29"/>
    <mergeCell ref="A33:F3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A15" sqref="A15:F1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87"/>
      <c r="E4" s="1" t="s">
        <v>203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3.76*4609.4</f>
        <v>17331.343999999997</v>
      </c>
    </row>
    <row r="21" spans="1:12" x14ac:dyDescent="0.3">
      <c r="A21" s="14" t="s">
        <v>20</v>
      </c>
      <c r="B21" s="15"/>
      <c r="C21" s="15"/>
      <c r="D21" s="16"/>
      <c r="F21" s="39">
        <f>SUM(F9:F20)</f>
        <v>74810.562000000005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43.2" x14ac:dyDescent="0.3">
      <c r="A24" s="86" t="s">
        <v>205</v>
      </c>
      <c r="B24" s="24" t="s">
        <v>204</v>
      </c>
      <c r="C24" s="24" t="s">
        <v>47</v>
      </c>
      <c r="D24" s="21">
        <v>1</v>
      </c>
      <c r="E24" s="40">
        <v>1762</v>
      </c>
      <c r="F24" s="40">
        <v>1762</v>
      </c>
    </row>
    <row r="25" spans="1:12" ht="18" customHeight="1" x14ac:dyDescent="0.3">
      <c r="A25" s="22" t="s">
        <v>21</v>
      </c>
      <c r="B25" s="5"/>
      <c r="C25" s="5"/>
      <c r="D25" s="5"/>
      <c r="E25" s="6"/>
      <c r="F25" s="6">
        <f>F24</f>
        <v>1762</v>
      </c>
    </row>
    <row r="26" spans="1:12" ht="48.75" customHeight="1" x14ac:dyDescent="0.3">
      <c r="A26" s="230" t="s">
        <v>206</v>
      </c>
      <c r="B26" s="230"/>
      <c r="C26" s="230"/>
      <c r="D26" s="230"/>
      <c r="E26" s="230"/>
      <c r="F26" s="230"/>
      <c r="K26" s="34">
        <f>F21+F25</f>
        <v>76572.562000000005</v>
      </c>
      <c r="L26" s="34"/>
    </row>
    <row r="27" spans="1:12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2" x14ac:dyDescent="0.3">
      <c r="A28" s="232" t="s">
        <v>8</v>
      </c>
      <c r="B28" s="232"/>
      <c r="C28" s="232"/>
      <c r="D28" s="232"/>
      <c r="E28" s="232"/>
      <c r="F28" s="232"/>
    </row>
    <row r="29" spans="1:12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2" x14ac:dyDescent="0.3">
      <c r="A30" s="88"/>
      <c r="B30" s="88"/>
      <c r="C30" s="88"/>
      <c r="D30" s="88"/>
      <c r="E30" s="88"/>
      <c r="F30" s="88"/>
    </row>
    <row r="31" spans="1:12" x14ac:dyDescent="0.3">
      <c r="A31" s="4"/>
      <c r="B31" s="4" t="s">
        <v>10</v>
      </c>
      <c r="C31" s="4"/>
      <c r="D31" s="4"/>
      <c r="E31" s="4"/>
      <c r="F31" s="4"/>
    </row>
    <row r="32" spans="1:12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88"/>
      <c r="B34" s="88"/>
      <c r="C34" s="88"/>
      <c r="D34" s="88"/>
      <c r="E34" s="88"/>
      <c r="F34" s="88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55</v>
      </c>
      <c r="B36" s="225"/>
      <c r="C36" s="225"/>
      <c r="D36" s="225"/>
      <c r="E36" s="225"/>
      <c r="F36" s="225"/>
    </row>
    <row r="37" spans="1:6" x14ac:dyDescent="0.3">
      <c r="A37" s="87"/>
    </row>
    <row r="39" spans="1:6" x14ac:dyDescent="0.3">
      <c r="A39" s="87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5:F35"/>
    <mergeCell ref="A36:F36"/>
    <mergeCell ref="A22:F22"/>
    <mergeCell ref="A26:F26"/>
    <mergeCell ref="A27:F27"/>
    <mergeCell ref="A28:F28"/>
    <mergeCell ref="A29:F29"/>
    <mergeCell ref="A33:F3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0" workbookViewId="0">
      <selection activeCell="A16" sqref="A16:F1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41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90"/>
      <c r="E4" s="1" t="s">
        <v>208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x14ac:dyDescent="0.3">
      <c r="A20" s="8" t="s">
        <v>29</v>
      </c>
      <c r="B20" s="5" t="s">
        <v>26</v>
      </c>
      <c r="C20" s="217" t="s">
        <v>30</v>
      </c>
      <c r="D20" s="218"/>
      <c r="E20" s="13">
        <v>545.89</v>
      </c>
      <c r="F20" s="12">
        <f>3.76*4609.4</f>
        <v>17331.343999999997</v>
      </c>
    </row>
    <row r="21" spans="1:12" x14ac:dyDescent="0.3">
      <c r="A21" s="14" t="s">
        <v>20</v>
      </c>
      <c r="B21" s="15"/>
      <c r="C21" s="15"/>
      <c r="D21" s="16"/>
      <c r="F21" s="39">
        <f>SUM(F9:F20)</f>
        <v>74810.562000000005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28.8" x14ac:dyDescent="0.3">
      <c r="A24" s="86" t="s">
        <v>211</v>
      </c>
      <c r="B24" s="24" t="s">
        <v>209</v>
      </c>
      <c r="C24" s="24" t="s">
        <v>47</v>
      </c>
      <c r="D24" s="24">
        <v>1</v>
      </c>
      <c r="E24" s="40">
        <f>F24/D24</f>
        <v>2921</v>
      </c>
      <c r="F24" s="40">
        <v>2921</v>
      </c>
    </row>
    <row r="25" spans="1:12" ht="43.2" x14ac:dyDescent="0.3">
      <c r="A25" s="86" t="s">
        <v>210</v>
      </c>
      <c r="B25" s="24" t="s">
        <v>209</v>
      </c>
      <c r="C25" s="24" t="s">
        <v>47</v>
      </c>
      <c r="D25" s="21">
        <v>1</v>
      </c>
      <c r="E25" s="40">
        <f>F25/D25</f>
        <v>440</v>
      </c>
      <c r="F25" s="40">
        <v>440</v>
      </c>
    </row>
    <row r="26" spans="1:12" ht="18" customHeight="1" x14ac:dyDescent="0.3">
      <c r="A26" s="22" t="s">
        <v>21</v>
      </c>
      <c r="B26" s="5"/>
      <c r="C26" s="5"/>
      <c r="D26" s="5"/>
      <c r="E26" s="6"/>
      <c r="F26" s="6">
        <f>F24+F25</f>
        <v>3361</v>
      </c>
    </row>
    <row r="27" spans="1:12" ht="48.75" customHeight="1" x14ac:dyDescent="0.3">
      <c r="A27" s="230" t="s">
        <v>212</v>
      </c>
      <c r="B27" s="230"/>
      <c r="C27" s="230"/>
      <c r="D27" s="230"/>
      <c r="E27" s="230"/>
      <c r="F27" s="230"/>
      <c r="K27" s="34">
        <f>F21+F26</f>
        <v>78171.562000000005</v>
      </c>
      <c r="L27" s="34"/>
    </row>
    <row r="28" spans="1:12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2" x14ac:dyDescent="0.3">
      <c r="A29" s="232" t="s">
        <v>8</v>
      </c>
      <c r="B29" s="232"/>
      <c r="C29" s="232"/>
      <c r="D29" s="232"/>
      <c r="E29" s="232"/>
      <c r="F29" s="232"/>
    </row>
    <row r="30" spans="1:12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2" x14ac:dyDescent="0.3">
      <c r="A31" s="91"/>
      <c r="B31" s="91"/>
      <c r="C31" s="91"/>
      <c r="D31" s="91"/>
      <c r="E31" s="91"/>
      <c r="F31" s="91"/>
    </row>
    <row r="32" spans="1:12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91"/>
      <c r="B35" s="91"/>
      <c r="C35" s="91"/>
      <c r="D35" s="91"/>
      <c r="E35" s="91"/>
      <c r="F35" s="91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90"/>
    </row>
    <row r="40" spans="1:6" x14ac:dyDescent="0.3">
      <c r="A40" s="90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6:F36"/>
    <mergeCell ref="A37:F37"/>
    <mergeCell ref="A22:F22"/>
    <mergeCell ref="A27:F27"/>
    <mergeCell ref="A28:F28"/>
    <mergeCell ref="A29:F29"/>
    <mergeCell ref="A30:F30"/>
    <mergeCell ref="A34:F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0" workbookViewId="0">
      <selection activeCell="F23" sqref="F2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1"/>
      <c r="E4" s="1" t="s">
        <v>60</v>
      </c>
      <c r="F4" s="1"/>
    </row>
    <row r="6" spans="1:9" ht="175.5" customHeight="1" x14ac:dyDescent="0.3">
      <c r="A6" s="222" t="s">
        <v>69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ref="F10:F16" si="1">E10*4591.99</f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1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6">
        <v>2.17</v>
      </c>
      <c r="F12" s="6">
        <f t="shared" si="1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6">
        <v>0.84</v>
      </c>
      <c r="F13" s="6">
        <f t="shared" si="1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2">
        <v>0.13</v>
      </c>
      <c r="F14" s="12">
        <f t="shared" si="1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2">
        <v>0.04</v>
      </c>
      <c r="F15" s="12">
        <f t="shared" si="1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1"/>
        <v>596.95870000000002</v>
      </c>
    </row>
    <row r="17" spans="1:6" ht="16.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F18" s="34">
        <f>SUM(F9:F17)</f>
        <v>69155.117000000013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43.2" x14ac:dyDescent="0.3">
      <c r="A21" s="22" t="s">
        <v>61</v>
      </c>
      <c r="B21" s="5" t="s">
        <v>46</v>
      </c>
      <c r="C21" s="5" t="s">
        <v>47</v>
      </c>
      <c r="D21" s="23">
        <v>6</v>
      </c>
      <c r="E21" s="30">
        <f>F21/D21</f>
        <v>1603.6666666666667</v>
      </c>
      <c r="F21" s="5">
        <v>9622</v>
      </c>
    </row>
    <row r="22" spans="1:6" ht="104.25" customHeight="1" x14ac:dyDescent="0.3">
      <c r="A22" s="22" t="s">
        <v>62</v>
      </c>
      <c r="B22" s="5" t="s">
        <v>46</v>
      </c>
      <c r="C22" s="5" t="s">
        <v>47</v>
      </c>
      <c r="D22" s="23">
        <v>3</v>
      </c>
      <c r="E22" s="30">
        <f>F22/D22</f>
        <v>1372</v>
      </c>
      <c r="F22" s="5">
        <v>4116</v>
      </c>
    </row>
    <row r="23" spans="1:6" ht="73.5" customHeight="1" x14ac:dyDescent="0.3">
      <c r="A23" s="22" t="s">
        <v>64</v>
      </c>
      <c r="B23" s="5" t="s">
        <v>46</v>
      </c>
      <c r="C23" s="5" t="s">
        <v>63</v>
      </c>
      <c r="D23" s="23">
        <v>9.6</v>
      </c>
      <c r="E23" s="30">
        <f>F23/D23</f>
        <v>340.41666666666669</v>
      </c>
      <c r="F23" s="5">
        <v>3268</v>
      </c>
    </row>
    <row r="24" spans="1:6" ht="28.5" customHeight="1" x14ac:dyDescent="0.3">
      <c r="A24" s="22" t="s">
        <v>65</v>
      </c>
      <c r="B24" s="5" t="s">
        <v>46</v>
      </c>
      <c r="C24" s="5" t="s">
        <v>28</v>
      </c>
      <c r="D24" s="23">
        <v>0.5</v>
      </c>
      <c r="E24" s="30">
        <v>1430</v>
      </c>
      <c r="F24" s="5">
        <v>715</v>
      </c>
    </row>
    <row r="25" spans="1:6" ht="43.2" x14ac:dyDescent="0.3">
      <c r="A25" s="22" t="s">
        <v>22</v>
      </c>
      <c r="B25" s="5" t="s">
        <v>46</v>
      </c>
      <c r="C25" s="5" t="s">
        <v>28</v>
      </c>
      <c r="D25" s="23">
        <v>0.83299999999999996</v>
      </c>
      <c r="E25" s="30">
        <v>1650</v>
      </c>
      <c r="F25" s="30">
        <v>1375</v>
      </c>
    </row>
    <row r="26" spans="1:6" ht="28.8" x14ac:dyDescent="0.3">
      <c r="A26" s="22" t="s">
        <v>66</v>
      </c>
      <c r="B26" s="5" t="s">
        <v>46</v>
      </c>
      <c r="C26" s="5" t="s">
        <v>47</v>
      </c>
      <c r="D26" s="23">
        <v>1</v>
      </c>
      <c r="E26" s="30">
        <f>F26*D26</f>
        <v>2475</v>
      </c>
      <c r="F26" s="30">
        <v>2475</v>
      </c>
    </row>
    <row r="27" spans="1:6" x14ac:dyDescent="0.3">
      <c r="A27" s="22" t="s">
        <v>21</v>
      </c>
      <c r="B27" s="5"/>
      <c r="C27" s="5"/>
      <c r="D27" s="5"/>
      <c r="E27" s="6"/>
      <c r="F27" s="30">
        <f>SUM(F21:F26)</f>
        <v>21571</v>
      </c>
    </row>
    <row r="28" spans="1:6" ht="33" customHeight="1" x14ac:dyDescent="0.3">
      <c r="A28" s="22"/>
      <c r="B28" s="5"/>
      <c r="C28" s="5"/>
      <c r="D28" s="5"/>
      <c r="E28" s="6"/>
      <c r="F28" s="5"/>
    </row>
    <row r="29" spans="1:6" ht="43.5" customHeight="1" x14ac:dyDescent="0.3">
      <c r="A29" s="230" t="s">
        <v>74</v>
      </c>
      <c r="B29" s="230"/>
      <c r="C29" s="230"/>
      <c r="D29" s="230"/>
      <c r="E29" s="230"/>
      <c r="F29" s="230"/>
    </row>
    <row r="30" spans="1:6" ht="28.5" customHeight="1" x14ac:dyDescent="0.3">
      <c r="A30" s="231" t="s">
        <v>7</v>
      </c>
      <c r="B30" s="231"/>
      <c r="C30" s="231"/>
      <c r="D30" s="231"/>
      <c r="E30" s="231"/>
      <c r="F30" s="231"/>
    </row>
    <row r="31" spans="1:6" ht="18.75" customHeight="1" x14ac:dyDescent="0.3">
      <c r="A31" s="232" t="s">
        <v>8</v>
      </c>
      <c r="B31" s="232"/>
      <c r="C31" s="232"/>
      <c r="D31" s="232"/>
      <c r="E31" s="232"/>
      <c r="F31" s="232"/>
    </row>
    <row r="32" spans="1:6" ht="29.25" customHeight="1" x14ac:dyDescent="0.3">
      <c r="A32" s="231" t="s">
        <v>9</v>
      </c>
      <c r="B32" s="231"/>
      <c r="C32" s="231"/>
      <c r="D32" s="231"/>
      <c r="E32" s="231"/>
      <c r="F32" s="231"/>
    </row>
    <row r="33" spans="1:6" ht="15.75" customHeight="1" x14ac:dyDescent="0.3">
      <c r="A33" s="32"/>
      <c r="B33" s="32"/>
      <c r="C33" s="32"/>
      <c r="D33" s="32"/>
      <c r="E33" s="32"/>
      <c r="F33" s="32"/>
    </row>
    <row r="34" spans="1:6" x14ac:dyDescent="0.3">
      <c r="A34" s="4"/>
      <c r="B34" s="4" t="s">
        <v>10</v>
      </c>
      <c r="C34" s="4"/>
      <c r="D34" s="4"/>
      <c r="E34" s="4"/>
      <c r="F34" s="4"/>
    </row>
    <row r="35" spans="1:6" x14ac:dyDescent="0.3">
      <c r="A35" s="4"/>
      <c r="B35" s="4"/>
      <c r="C35" s="4"/>
      <c r="D35" s="4"/>
      <c r="E35" s="4"/>
      <c r="F35" s="4"/>
    </row>
    <row r="36" spans="1:6" x14ac:dyDescent="0.3">
      <c r="A36" s="225" t="s">
        <v>11</v>
      </c>
      <c r="B36" s="225"/>
      <c r="C36" s="225"/>
      <c r="D36" s="225"/>
      <c r="E36" s="225"/>
      <c r="F36" s="225"/>
    </row>
    <row r="37" spans="1:6" x14ac:dyDescent="0.3">
      <c r="A37" s="32"/>
      <c r="B37" s="32"/>
      <c r="C37" s="32"/>
      <c r="D37" s="32"/>
      <c r="E37" s="32"/>
      <c r="F37" s="32"/>
    </row>
    <row r="38" spans="1:6" x14ac:dyDescent="0.3">
      <c r="A38" s="225" t="s">
        <v>54</v>
      </c>
      <c r="B38" s="225"/>
      <c r="C38" s="225"/>
      <c r="D38" s="225"/>
      <c r="E38" s="225"/>
      <c r="F38" s="225"/>
    </row>
    <row r="39" spans="1:6" x14ac:dyDescent="0.3">
      <c r="A39" s="225" t="s">
        <v>55</v>
      </c>
      <c r="B39" s="225"/>
      <c r="C39" s="225"/>
      <c r="D39" s="225"/>
      <c r="E39" s="225"/>
      <c r="F39" s="225"/>
    </row>
    <row r="40" spans="1:6" x14ac:dyDescent="0.3">
      <c r="A40" s="29"/>
    </row>
    <row r="42" spans="1:6" x14ac:dyDescent="0.3">
      <c r="A42" s="29"/>
    </row>
  </sheetData>
  <mergeCells count="23">
    <mergeCell ref="C14:D14"/>
    <mergeCell ref="C15:D15"/>
    <mergeCell ref="C16:D16"/>
    <mergeCell ref="A8:F8"/>
    <mergeCell ref="C9:D9"/>
    <mergeCell ref="C11:D11"/>
    <mergeCell ref="C12:D12"/>
    <mergeCell ref="C13:D13"/>
    <mergeCell ref="C10:D10"/>
    <mergeCell ref="A1:I1"/>
    <mergeCell ref="A2:I2"/>
    <mergeCell ref="A4:B4"/>
    <mergeCell ref="A6:I6"/>
    <mergeCell ref="C7:D7"/>
    <mergeCell ref="C17:D17"/>
    <mergeCell ref="A19:F19"/>
    <mergeCell ref="A32:F32"/>
    <mergeCell ref="A36:F36"/>
    <mergeCell ref="A39:F39"/>
    <mergeCell ref="A29:F29"/>
    <mergeCell ref="A30:F30"/>
    <mergeCell ref="A31:F31"/>
    <mergeCell ref="A38:F38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0" workbookViewId="0">
      <selection activeCell="A24" sqref="A24:F2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219" t="s">
        <v>42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92"/>
      <c r="E4" s="1" t="s">
        <v>213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ht="15" x14ac:dyDescent="0.25">
      <c r="A20" s="8"/>
      <c r="B20" s="5"/>
      <c r="C20" s="217"/>
      <c r="D20" s="218"/>
      <c r="E20" s="13"/>
      <c r="F20" s="12"/>
    </row>
    <row r="21" spans="1:12" x14ac:dyDescent="0.3">
      <c r="A21" s="14" t="s">
        <v>20</v>
      </c>
      <c r="B21" s="15"/>
      <c r="C21" s="15"/>
      <c r="D21" s="16"/>
      <c r="F21" s="39">
        <f>SUM(F9:F20)</f>
        <v>57479.218000000001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57.6" x14ac:dyDescent="0.3">
      <c r="A24" s="86" t="s">
        <v>215</v>
      </c>
      <c r="B24" s="24" t="s">
        <v>214</v>
      </c>
      <c r="C24" s="24" t="s">
        <v>47</v>
      </c>
      <c r="D24" s="24">
        <v>30</v>
      </c>
      <c r="E24" s="40">
        <f>F24/D24</f>
        <v>162.66666666666666</v>
      </c>
      <c r="F24" s="40">
        <v>4880</v>
      </c>
    </row>
    <row r="25" spans="1:12" ht="28.8" x14ac:dyDescent="0.3">
      <c r="A25" s="86" t="s">
        <v>216</v>
      </c>
      <c r="B25" s="24" t="s">
        <v>214</v>
      </c>
      <c r="C25" s="24" t="s">
        <v>28</v>
      </c>
      <c r="D25" s="21">
        <v>1</v>
      </c>
      <c r="E25" s="40">
        <f>F25/D25</f>
        <v>4872</v>
      </c>
      <c r="F25" s="40">
        <v>4872</v>
      </c>
    </row>
    <row r="26" spans="1:12" ht="18" customHeight="1" x14ac:dyDescent="0.3">
      <c r="A26" s="22" t="s">
        <v>21</v>
      </c>
      <c r="B26" s="5"/>
      <c r="C26" s="5"/>
      <c r="D26" s="5"/>
      <c r="E26" s="6"/>
      <c r="F26" s="6">
        <f>F24+F25</f>
        <v>9752</v>
      </c>
    </row>
    <row r="27" spans="1:12" ht="48.75" customHeight="1" x14ac:dyDescent="0.3">
      <c r="A27" s="230" t="s">
        <v>217</v>
      </c>
      <c r="B27" s="230"/>
      <c r="C27" s="230"/>
      <c r="D27" s="230"/>
      <c r="E27" s="230"/>
      <c r="F27" s="230"/>
      <c r="K27" s="34">
        <f>F21+F26</f>
        <v>67231.217999999993</v>
      </c>
      <c r="L27" s="34"/>
    </row>
    <row r="28" spans="1:12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2" x14ac:dyDescent="0.3">
      <c r="A29" s="232" t="s">
        <v>8</v>
      </c>
      <c r="B29" s="232"/>
      <c r="C29" s="232"/>
      <c r="D29" s="232"/>
      <c r="E29" s="232"/>
      <c r="F29" s="232"/>
    </row>
    <row r="30" spans="1:12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2" x14ac:dyDescent="0.3">
      <c r="A31" s="93"/>
      <c r="B31" s="93"/>
      <c r="C31" s="93"/>
      <c r="D31" s="93"/>
      <c r="E31" s="93"/>
      <c r="F31" s="93"/>
    </row>
    <row r="32" spans="1:12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93"/>
      <c r="B35" s="93"/>
      <c r="C35" s="93"/>
      <c r="D35" s="93"/>
      <c r="E35" s="93"/>
      <c r="F35" s="93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92"/>
    </row>
    <row r="40" spans="1:6" x14ac:dyDescent="0.3">
      <c r="A40" s="92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6:F36"/>
    <mergeCell ref="A37:F37"/>
    <mergeCell ref="A22:F22"/>
    <mergeCell ref="A27:F27"/>
    <mergeCell ref="A28:F28"/>
    <mergeCell ref="A29:F29"/>
    <mergeCell ref="A30:F30"/>
    <mergeCell ref="A34:F3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B10" workbookViewId="0">
      <selection activeCell="A20" sqref="A20:F2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40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94"/>
      <c r="E4" s="1" t="s">
        <v>218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E9*4609.4</f>
        <v>16455.557999999997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9541.4579999999987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10832.09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10002.397999999999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3871.8959999999997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42.75" customHeight="1" x14ac:dyDescent="0.3">
      <c r="A15" s="8" t="s">
        <v>43</v>
      </c>
      <c r="B15" s="11" t="s">
        <v>16</v>
      </c>
      <c r="C15" s="217" t="s">
        <v>44</v>
      </c>
      <c r="D15" s="218"/>
      <c r="E15" s="10">
        <v>0.04</v>
      </c>
      <c r="F15" s="10">
        <f t="shared" si="0"/>
        <v>184.37599999999998</v>
      </c>
    </row>
    <row r="16" spans="1:9" ht="30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599.22199999999998</v>
      </c>
    </row>
    <row r="17" spans="1:12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0.28000000000000003</v>
      </c>
      <c r="F17" s="12">
        <f>0.28*4609.4</f>
        <v>1290.6320000000001</v>
      </c>
    </row>
    <row r="18" spans="1:12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0.21</v>
      </c>
      <c r="F18" s="10">
        <f>0.21*4609.4</f>
        <v>967.97399999999993</v>
      </c>
    </row>
    <row r="19" spans="1:12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0.68</v>
      </c>
      <c r="F19" s="12">
        <f>0.68*4609.4</f>
        <v>3134.3919999999998</v>
      </c>
    </row>
    <row r="20" spans="1:12" ht="61.5" customHeight="1" x14ac:dyDescent="0.3">
      <c r="A20" s="69" t="s">
        <v>221</v>
      </c>
      <c r="B20" s="24" t="s">
        <v>89</v>
      </c>
      <c r="C20" s="217" t="s">
        <v>94</v>
      </c>
      <c r="D20" s="218"/>
      <c r="E20" s="10">
        <v>2000</v>
      </c>
      <c r="F20" s="10">
        <v>4000</v>
      </c>
    </row>
    <row r="21" spans="1:12" x14ac:dyDescent="0.3">
      <c r="A21" s="14" t="s">
        <v>20</v>
      </c>
      <c r="B21" s="15"/>
      <c r="C21" s="15"/>
      <c r="D21" s="16"/>
      <c r="F21" s="39">
        <f>SUM(F9:F20)</f>
        <v>61479.218000000001</v>
      </c>
    </row>
    <row r="22" spans="1:12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2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2" ht="43.2" x14ac:dyDescent="0.3">
      <c r="A24" s="86" t="s">
        <v>220</v>
      </c>
      <c r="B24" s="24" t="s">
        <v>219</v>
      </c>
      <c r="C24" s="24" t="s">
        <v>27</v>
      </c>
      <c r="D24" s="24">
        <v>16</v>
      </c>
      <c r="E24" s="40">
        <f>F24/D24</f>
        <v>1154.6875</v>
      </c>
      <c r="F24" s="40">
        <v>18475</v>
      </c>
    </row>
    <row r="25" spans="1:12" ht="57.6" x14ac:dyDescent="0.3">
      <c r="A25" s="86" t="s">
        <v>223</v>
      </c>
      <c r="B25" s="24" t="s">
        <v>214</v>
      </c>
      <c r="C25" s="24" t="s">
        <v>47</v>
      </c>
      <c r="D25" s="21">
        <v>1</v>
      </c>
      <c r="E25" s="40">
        <f>F25/D25</f>
        <v>30800</v>
      </c>
      <c r="F25" s="40">
        <v>30800</v>
      </c>
    </row>
    <row r="26" spans="1:12" ht="18" customHeight="1" x14ac:dyDescent="0.3">
      <c r="A26" s="22" t="s">
        <v>21</v>
      </c>
      <c r="B26" s="5"/>
      <c r="C26" s="5"/>
      <c r="D26" s="5"/>
      <c r="E26" s="6"/>
      <c r="F26" s="6">
        <f>F24+F25</f>
        <v>49275</v>
      </c>
    </row>
    <row r="27" spans="1:12" ht="48.75" customHeight="1" x14ac:dyDescent="0.3">
      <c r="A27" s="230" t="s">
        <v>222</v>
      </c>
      <c r="B27" s="230"/>
      <c r="C27" s="230"/>
      <c r="D27" s="230"/>
      <c r="E27" s="230"/>
      <c r="F27" s="230"/>
      <c r="K27" s="34">
        <f>F21+F26</f>
        <v>110754.21799999999</v>
      </c>
      <c r="L27" s="34"/>
    </row>
    <row r="28" spans="1:12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2" x14ac:dyDescent="0.3">
      <c r="A29" s="232" t="s">
        <v>8</v>
      </c>
      <c r="B29" s="232"/>
      <c r="C29" s="232"/>
      <c r="D29" s="232"/>
      <c r="E29" s="232"/>
      <c r="F29" s="232"/>
    </row>
    <row r="30" spans="1:12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2" x14ac:dyDescent="0.3">
      <c r="A31" s="95"/>
      <c r="B31" s="95"/>
      <c r="C31" s="95"/>
      <c r="D31" s="95"/>
      <c r="E31" s="95"/>
      <c r="F31" s="95"/>
    </row>
    <row r="32" spans="1:12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95"/>
      <c r="B35" s="95"/>
      <c r="C35" s="95"/>
      <c r="D35" s="95"/>
      <c r="E35" s="95"/>
      <c r="F35" s="95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94"/>
    </row>
    <row r="40" spans="1:6" x14ac:dyDescent="0.3">
      <c r="A40" s="94"/>
    </row>
  </sheetData>
  <mergeCells count="26">
    <mergeCell ref="A8:F8"/>
    <mergeCell ref="A1:I1"/>
    <mergeCell ref="A2:I2"/>
    <mergeCell ref="A4:B4"/>
    <mergeCell ref="A6:I6"/>
    <mergeCell ref="C7:D7"/>
    <mergeCell ref="C20:D20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19:D19"/>
    <mergeCell ref="C15:D15"/>
    <mergeCell ref="A36:F36"/>
    <mergeCell ref="A37:F37"/>
    <mergeCell ref="A22:F22"/>
    <mergeCell ref="A27:F27"/>
    <mergeCell ref="A28:F28"/>
    <mergeCell ref="A29:F29"/>
    <mergeCell ref="A30:F30"/>
    <mergeCell ref="A34:F3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A21" sqref="A21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39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96"/>
      <c r="E4" s="1" t="s">
        <v>224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0.39</v>
      </c>
      <c r="F15" s="12">
        <f>E15*4609.4</f>
        <v>1797.6659999999999</v>
      </c>
    </row>
    <row r="16" spans="1:9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0.25</v>
      </c>
      <c r="F16" s="10">
        <f>E16*4609.4</f>
        <v>1152.3499999999999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</v>
      </c>
      <c r="F17" s="12">
        <v>0</v>
      </c>
    </row>
    <row r="18" spans="1:12" x14ac:dyDescent="0.3">
      <c r="A18" s="14" t="s">
        <v>20</v>
      </c>
      <c r="B18" s="15"/>
      <c r="C18" s="15"/>
      <c r="D18" s="16"/>
      <c r="F18" s="39">
        <f>SUM(F9:F17)</f>
        <v>60290.952000000005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57.6" x14ac:dyDescent="0.3">
      <c r="A21" s="86" t="s">
        <v>226</v>
      </c>
      <c r="B21" s="24" t="s">
        <v>225</v>
      </c>
      <c r="C21" s="24" t="s">
        <v>47</v>
      </c>
      <c r="D21" s="24">
        <v>6</v>
      </c>
      <c r="E21" s="40">
        <f>F21/D21</f>
        <v>2399.3333333333335</v>
      </c>
      <c r="F21" s="40">
        <v>14396</v>
      </c>
    </row>
    <row r="22" spans="1:12" ht="72" x14ac:dyDescent="0.3">
      <c r="A22" s="86" t="s">
        <v>227</v>
      </c>
      <c r="B22" s="24" t="s">
        <v>225</v>
      </c>
      <c r="C22" s="24" t="s">
        <v>53</v>
      </c>
      <c r="D22" s="21">
        <v>4</v>
      </c>
      <c r="E22" s="40">
        <f>F22/D22</f>
        <v>1894</v>
      </c>
      <c r="F22" s="40">
        <v>7576</v>
      </c>
    </row>
    <row r="23" spans="1:12" ht="18" customHeight="1" x14ac:dyDescent="0.3">
      <c r="A23" s="22" t="s">
        <v>21</v>
      </c>
      <c r="B23" s="5"/>
      <c r="C23" s="5"/>
      <c r="D23" s="5"/>
      <c r="E23" s="6"/>
      <c r="F23" s="6">
        <f>F21+F22</f>
        <v>21972</v>
      </c>
    </row>
    <row r="24" spans="1:12" ht="48.75" customHeight="1" x14ac:dyDescent="0.3">
      <c r="A24" s="230" t="s">
        <v>229</v>
      </c>
      <c r="B24" s="230"/>
      <c r="C24" s="230"/>
      <c r="D24" s="230"/>
      <c r="E24" s="230"/>
      <c r="F24" s="230"/>
      <c r="K24" s="34">
        <f>F18+F23</f>
        <v>82262.952000000005</v>
      </c>
      <c r="L24" s="34"/>
    </row>
    <row r="25" spans="1:12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2" x14ac:dyDescent="0.3">
      <c r="A26" s="232" t="s">
        <v>8</v>
      </c>
      <c r="B26" s="232"/>
      <c r="C26" s="232"/>
      <c r="D26" s="232"/>
      <c r="E26" s="232"/>
      <c r="F26" s="232"/>
    </row>
    <row r="27" spans="1:12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2" x14ac:dyDescent="0.3">
      <c r="A28" s="97"/>
      <c r="B28" s="97"/>
      <c r="C28" s="97"/>
      <c r="D28" s="97"/>
      <c r="E28" s="97"/>
      <c r="F28" s="97"/>
    </row>
    <row r="29" spans="1:12" x14ac:dyDescent="0.3">
      <c r="A29" s="4"/>
      <c r="B29" s="4" t="s">
        <v>10</v>
      </c>
      <c r="C29" s="4"/>
      <c r="D29" s="4"/>
      <c r="E29" s="4"/>
      <c r="F29" s="4"/>
    </row>
    <row r="30" spans="1:12" x14ac:dyDescent="0.3">
      <c r="A30" s="4"/>
      <c r="B30" s="4"/>
      <c r="C30" s="4"/>
      <c r="D30" s="4"/>
      <c r="E30" s="4"/>
      <c r="F30" s="4"/>
    </row>
    <row r="31" spans="1:12" x14ac:dyDescent="0.3">
      <c r="A31" s="225" t="s">
        <v>11</v>
      </c>
      <c r="B31" s="225"/>
      <c r="C31" s="225"/>
      <c r="D31" s="225"/>
      <c r="E31" s="225"/>
      <c r="F31" s="225"/>
    </row>
    <row r="32" spans="1:12" x14ac:dyDescent="0.3">
      <c r="A32" s="97"/>
      <c r="B32" s="97"/>
      <c r="C32" s="97"/>
      <c r="D32" s="97"/>
      <c r="E32" s="97"/>
      <c r="F32" s="97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x14ac:dyDescent="0.3">
      <c r="A35" s="96"/>
    </row>
    <row r="37" spans="1:6" x14ac:dyDescent="0.3">
      <c r="A37" s="96"/>
    </row>
  </sheetData>
  <mergeCells count="23">
    <mergeCell ref="A8:F8"/>
    <mergeCell ref="A1:I1"/>
    <mergeCell ref="A2:I2"/>
    <mergeCell ref="A4:B4"/>
    <mergeCell ref="A6:I6"/>
    <mergeCell ref="C7:D7"/>
    <mergeCell ref="C15:D15"/>
    <mergeCell ref="C16:D16"/>
    <mergeCell ref="C17:D17"/>
    <mergeCell ref="C9:D9"/>
    <mergeCell ref="C10:D10"/>
    <mergeCell ref="C11:D11"/>
    <mergeCell ref="C12:D12"/>
    <mergeCell ref="C13:D13"/>
    <mergeCell ref="C14:D14"/>
    <mergeCell ref="A33:F33"/>
    <mergeCell ref="A34:F34"/>
    <mergeCell ref="A19:F19"/>
    <mergeCell ref="A24:F24"/>
    <mergeCell ref="A25:F25"/>
    <mergeCell ref="A26:F26"/>
    <mergeCell ref="A27:F27"/>
    <mergeCell ref="A31:F3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0"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38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98"/>
      <c r="E4" s="1" t="s">
        <v>230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0.06</v>
      </c>
      <c r="F15" s="12">
        <f>E15*4609.4</f>
        <v>276.56399999999996</v>
      </c>
    </row>
    <row r="16" spans="1:9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0.04</v>
      </c>
      <c r="F16" s="10">
        <f>E16*4609.4</f>
        <v>184.37599999999998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0.52</v>
      </c>
      <c r="F17" s="12">
        <f>E17*4609.4</f>
        <v>2396.8879999999999</v>
      </c>
    </row>
    <row r="18" spans="1:12" x14ac:dyDescent="0.3">
      <c r="A18" s="14" t="s">
        <v>20</v>
      </c>
      <c r="B18" s="15"/>
      <c r="C18" s="15"/>
      <c r="D18" s="16"/>
      <c r="F18" s="39">
        <f>SUM(F9:F17)</f>
        <v>60198.764000000003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15" x14ac:dyDescent="0.25">
      <c r="A21" s="86"/>
      <c r="B21" s="24"/>
      <c r="C21" s="24"/>
      <c r="D21" s="24"/>
      <c r="E21" s="40"/>
      <c r="F21" s="40"/>
    </row>
    <row r="22" spans="1:12" ht="15" x14ac:dyDescent="0.25">
      <c r="A22" s="86"/>
      <c r="B22" s="24"/>
      <c r="C22" s="24"/>
      <c r="D22" s="21"/>
      <c r="E22" s="40"/>
      <c r="F22" s="40"/>
    </row>
    <row r="23" spans="1:12" ht="18" customHeight="1" x14ac:dyDescent="0.3">
      <c r="A23" s="22" t="s">
        <v>21</v>
      </c>
      <c r="B23" s="5"/>
      <c r="C23" s="5"/>
      <c r="D23" s="5"/>
      <c r="E23" s="6"/>
      <c r="F23" s="6">
        <f>F21+F22</f>
        <v>0</v>
      </c>
    </row>
    <row r="24" spans="1:12" ht="48.75" customHeight="1" x14ac:dyDescent="0.3">
      <c r="A24" s="230" t="s">
        <v>231</v>
      </c>
      <c r="B24" s="230"/>
      <c r="C24" s="230"/>
      <c r="D24" s="230"/>
      <c r="E24" s="230"/>
      <c r="F24" s="230"/>
      <c r="K24" s="34">
        <f>F18+F23</f>
        <v>60198.764000000003</v>
      </c>
      <c r="L24" s="34"/>
    </row>
    <row r="25" spans="1:12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2" x14ac:dyDescent="0.3">
      <c r="A26" s="232" t="s">
        <v>8</v>
      </c>
      <c r="B26" s="232"/>
      <c r="C26" s="232"/>
      <c r="D26" s="232"/>
      <c r="E26" s="232"/>
      <c r="F26" s="232"/>
    </row>
    <row r="27" spans="1:12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2" ht="15" x14ac:dyDescent="0.25">
      <c r="A28" s="99"/>
      <c r="B28" s="99"/>
      <c r="C28" s="99"/>
      <c r="D28" s="99"/>
      <c r="E28" s="99"/>
      <c r="F28" s="99"/>
    </row>
    <row r="29" spans="1:12" x14ac:dyDescent="0.3">
      <c r="A29" s="4"/>
      <c r="B29" s="4" t="s">
        <v>10</v>
      </c>
      <c r="C29" s="4"/>
      <c r="D29" s="4"/>
      <c r="E29" s="4"/>
      <c r="F29" s="4"/>
    </row>
    <row r="30" spans="1:12" x14ac:dyDescent="0.3">
      <c r="A30" s="4"/>
      <c r="B30" s="4"/>
      <c r="C30" s="4"/>
      <c r="D30" s="4"/>
      <c r="E30" s="4"/>
      <c r="F30" s="4"/>
    </row>
    <row r="31" spans="1:12" x14ac:dyDescent="0.3">
      <c r="A31" s="225" t="s">
        <v>11</v>
      </c>
      <c r="B31" s="225"/>
      <c r="C31" s="225"/>
      <c r="D31" s="225"/>
      <c r="E31" s="225"/>
      <c r="F31" s="225"/>
    </row>
    <row r="32" spans="1:12" x14ac:dyDescent="0.3">
      <c r="A32" s="99"/>
      <c r="B32" s="99"/>
      <c r="C32" s="99"/>
      <c r="D32" s="99"/>
      <c r="E32" s="99"/>
      <c r="F32" s="99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x14ac:dyDescent="0.3">
      <c r="A35" s="98"/>
    </row>
    <row r="37" spans="1:6" x14ac:dyDescent="0.3">
      <c r="A37" s="98"/>
    </row>
  </sheetData>
  <mergeCells count="23">
    <mergeCell ref="A8:F8"/>
    <mergeCell ref="A1:I1"/>
    <mergeCell ref="A2:I2"/>
    <mergeCell ref="A4:B4"/>
    <mergeCell ref="A6:I6"/>
    <mergeCell ref="C7:D7"/>
    <mergeCell ref="A25:F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24:F24"/>
    <mergeCell ref="A26:F26"/>
    <mergeCell ref="A27:F27"/>
    <mergeCell ref="A31:F31"/>
    <mergeCell ref="A33:F33"/>
    <mergeCell ref="A34:F3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0" workbookViewId="0">
      <selection activeCell="A21" sqref="A21:F2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00"/>
      <c r="E4" s="1" t="s">
        <v>232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1.51</v>
      </c>
      <c r="F15" s="12">
        <f>E15*4609.4</f>
        <v>6960.1939999999995</v>
      </c>
    </row>
    <row r="16" spans="1:9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0.97</v>
      </c>
      <c r="F16" s="10">
        <f>E16*4609.4</f>
        <v>4471.1179999999995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0.42</v>
      </c>
      <c r="F17" s="12">
        <f>E17*4609.4</f>
        <v>1935.9479999999999</v>
      </c>
    </row>
    <row r="18" spans="1:12" x14ac:dyDescent="0.3">
      <c r="A18" s="14" t="s">
        <v>20</v>
      </c>
      <c r="B18" s="15"/>
      <c r="C18" s="15"/>
      <c r="D18" s="16"/>
      <c r="F18" s="39">
        <f>SUM(F9:F17)</f>
        <v>70708.196000000011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76.5" customHeight="1" x14ac:dyDescent="0.3">
      <c r="A21" s="86" t="s">
        <v>234</v>
      </c>
      <c r="B21" s="24" t="s">
        <v>233</v>
      </c>
      <c r="C21" s="24" t="s">
        <v>86</v>
      </c>
      <c r="D21" s="24">
        <v>403</v>
      </c>
      <c r="E21" s="40"/>
      <c r="F21" s="40">
        <v>75185</v>
      </c>
    </row>
    <row r="22" spans="1:12" ht="15" x14ac:dyDescent="0.25">
      <c r="A22" s="86"/>
      <c r="B22" s="24"/>
      <c r="C22" s="24"/>
      <c r="D22" s="21"/>
      <c r="E22" s="40"/>
      <c r="F22" s="40"/>
    </row>
    <row r="23" spans="1:12" ht="18" customHeight="1" x14ac:dyDescent="0.3">
      <c r="A23" s="22" t="s">
        <v>21</v>
      </c>
      <c r="B23" s="5"/>
      <c r="C23" s="5"/>
      <c r="D23" s="5"/>
      <c r="E23" s="6"/>
      <c r="F23" s="6">
        <f>F21+F22</f>
        <v>75185</v>
      </c>
    </row>
    <row r="24" spans="1:12" ht="48.75" customHeight="1" x14ac:dyDescent="0.3">
      <c r="A24" s="230" t="s">
        <v>235</v>
      </c>
      <c r="B24" s="230"/>
      <c r="C24" s="230"/>
      <c r="D24" s="230"/>
      <c r="E24" s="230"/>
      <c r="F24" s="230"/>
      <c r="K24" s="34">
        <f>F18+F23</f>
        <v>145893.196</v>
      </c>
      <c r="L24" s="34"/>
    </row>
    <row r="25" spans="1:12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2" x14ac:dyDescent="0.3">
      <c r="A26" s="232" t="s">
        <v>8</v>
      </c>
      <c r="B26" s="232"/>
      <c r="C26" s="232"/>
      <c r="D26" s="232"/>
      <c r="E26" s="232"/>
      <c r="F26" s="232"/>
    </row>
    <row r="27" spans="1:12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2" x14ac:dyDescent="0.3">
      <c r="A28" s="101"/>
      <c r="B28" s="101"/>
      <c r="C28" s="101"/>
      <c r="D28" s="101"/>
      <c r="E28" s="101"/>
      <c r="F28" s="101"/>
    </row>
    <row r="29" spans="1:12" x14ac:dyDescent="0.3">
      <c r="A29" s="4"/>
      <c r="B29" s="4" t="s">
        <v>10</v>
      </c>
      <c r="C29" s="4"/>
      <c r="D29" s="4"/>
      <c r="E29" s="4"/>
      <c r="F29" s="4"/>
    </row>
    <row r="30" spans="1:12" x14ac:dyDescent="0.3">
      <c r="A30" s="4"/>
      <c r="B30" s="4"/>
      <c r="C30" s="4"/>
      <c r="D30" s="4"/>
      <c r="E30" s="4"/>
      <c r="F30" s="4"/>
    </row>
    <row r="31" spans="1:12" x14ac:dyDescent="0.3">
      <c r="A31" s="225" t="s">
        <v>11</v>
      </c>
      <c r="B31" s="225"/>
      <c r="C31" s="225"/>
      <c r="D31" s="225"/>
      <c r="E31" s="225"/>
      <c r="F31" s="225"/>
    </row>
    <row r="32" spans="1:12" x14ac:dyDescent="0.3">
      <c r="A32" s="101"/>
      <c r="B32" s="101"/>
      <c r="C32" s="101"/>
      <c r="D32" s="101"/>
      <c r="E32" s="101"/>
      <c r="F32" s="101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x14ac:dyDescent="0.3">
      <c r="A35" s="100"/>
    </row>
    <row r="37" spans="1:6" x14ac:dyDescent="0.3">
      <c r="A37" s="100"/>
    </row>
  </sheetData>
  <mergeCells count="23">
    <mergeCell ref="A8:F8"/>
    <mergeCell ref="A1:I1"/>
    <mergeCell ref="A2:I2"/>
    <mergeCell ref="A4:B4"/>
    <mergeCell ref="A6:I6"/>
    <mergeCell ref="C7:D7"/>
    <mergeCell ref="A25:F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24:F24"/>
    <mergeCell ref="A26:F26"/>
    <mergeCell ref="A27:F27"/>
    <mergeCell ref="A31:F31"/>
    <mergeCell ref="A33:F33"/>
    <mergeCell ref="A34:F3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A21" sqref="A21:F2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02"/>
      <c r="E4" s="1" t="s">
        <v>236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0.86</v>
      </c>
      <c r="F15" s="12">
        <f>E15*4609.4</f>
        <v>3964.0839999999998</v>
      </c>
    </row>
    <row r="16" spans="1:9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0.55000000000000004</v>
      </c>
      <c r="F16" s="10">
        <f>E16*4609.4</f>
        <v>2535.17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0.88</v>
      </c>
      <c r="F17" s="12">
        <f>E17*4609.4</f>
        <v>4056.2719999999995</v>
      </c>
    </row>
    <row r="18" spans="1:12" x14ac:dyDescent="0.3">
      <c r="A18" s="14" t="s">
        <v>20</v>
      </c>
      <c r="B18" s="15"/>
      <c r="C18" s="15"/>
      <c r="D18" s="16"/>
      <c r="F18" s="39">
        <f>SUM(F9:F17)</f>
        <v>67896.462000000014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31.5" customHeight="1" x14ac:dyDescent="0.3">
      <c r="A21" s="86" t="s">
        <v>238</v>
      </c>
      <c r="B21" s="24" t="s">
        <v>237</v>
      </c>
      <c r="C21" s="24" t="s">
        <v>27</v>
      </c>
      <c r="D21" s="24">
        <v>7.5</v>
      </c>
      <c r="E21" s="40">
        <f>F21/D21</f>
        <v>979.6</v>
      </c>
      <c r="F21" s="40">
        <v>7347</v>
      </c>
    </row>
    <row r="22" spans="1:12" ht="57.6" x14ac:dyDescent="0.3">
      <c r="A22" s="86" t="s">
        <v>239</v>
      </c>
      <c r="B22" s="24" t="s">
        <v>237</v>
      </c>
      <c r="C22" s="24" t="s">
        <v>47</v>
      </c>
      <c r="D22" s="21">
        <v>20</v>
      </c>
      <c r="E22" s="40">
        <f>F22/D22</f>
        <v>668.65</v>
      </c>
      <c r="F22" s="40">
        <v>13373</v>
      </c>
    </row>
    <row r="23" spans="1:12" ht="28.8" x14ac:dyDescent="0.3">
      <c r="A23" s="86" t="s">
        <v>240</v>
      </c>
      <c r="B23" s="24" t="s">
        <v>237</v>
      </c>
      <c r="C23" s="24" t="s">
        <v>47</v>
      </c>
      <c r="D23" s="21">
        <v>1</v>
      </c>
      <c r="E23" s="40">
        <f>F23/D23</f>
        <v>148500</v>
      </c>
      <c r="F23" s="40">
        <v>148500</v>
      </c>
    </row>
    <row r="24" spans="1:12" ht="18" customHeight="1" x14ac:dyDescent="0.3">
      <c r="A24" s="22" t="s">
        <v>21</v>
      </c>
      <c r="B24" s="5"/>
      <c r="C24" s="5"/>
      <c r="D24" s="5"/>
      <c r="E24" s="6"/>
      <c r="F24" s="6">
        <f>F21+F22+F23</f>
        <v>169220</v>
      </c>
    </row>
    <row r="25" spans="1:12" ht="48.75" customHeight="1" x14ac:dyDescent="0.3">
      <c r="A25" s="230" t="s">
        <v>241</v>
      </c>
      <c r="B25" s="230"/>
      <c r="C25" s="230"/>
      <c r="D25" s="230"/>
      <c r="E25" s="230"/>
      <c r="F25" s="230"/>
      <c r="K25" s="34">
        <f>F18+F24</f>
        <v>237116.462</v>
      </c>
      <c r="L25" s="34"/>
    </row>
    <row r="26" spans="1:12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12" x14ac:dyDescent="0.3">
      <c r="A27" s="232" t="s">
        <v>8</v>
      </c>
      <c r="B27" s="232"/>
      <c r="C27" s="232"/>
      <c r="D27" s="232"/>
      <c r="E27" s="232"/>
      <c r="F27" s="232"/>
    </row>
    <row r="28" spans="1:12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12" x14ac:dyDescent="0.3">
      <c r="A29" s="103"/>
      <c r="B29" s="103"/>
      <c r="C29" s="103"/>
      <c r="D29" s="103"/>
      <c r="E29" s="103"/>
      <c r="F29" s="103"/>
    </row>
    <row r="30" spans="1:12" x14ac:dyDescent="0.3">
      <c r="A30" s="4"/>
      <c r="B30" s="4" t="s">
        <v>10</v>
      </c>
      <c r="C30" s="4"/>
      <c r="D30" s="4"/>
      <c r="E30" s="4"/>
      <c r="F30" s="4"/>
    </row>
    <row r="31" spans="1:12" x14ac:dyDescent="0.3">
      <c r="A31" s="4"/>
      <c r="B31" s="4"/>
      <c r="C31" s="4"/>
      <c r="D31" s="4"/>
      <c r="E31" s="4"/>
      <c r="F31" s="4"/>
    </row>
    <row r="32" spans="1:12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103"/>
      <c r="B33" s="103"/>
      <c r="C33" s="103"/>
      <c r="D33" s="103"/>
      <c r="E33" s="103"/>
      <c r="F33" s="103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102"/>
    </row>
    <row r="38" spans="1:6" x14ac:dyDescent="0.3">
      <c r="A38" s="102"/>
    </row>
  </sheetData>
  <mergeCells count="23">
    <mergeCell ref="A8:F8"/>
    <mergeCell ref="A1:I1"/>
    <mergeCell ref="A2:I2"/>
    <mergeCell ref="A4:B4"/>
    <mergeCell ref="A6:I6"/>
    <mergeCell ref="C7:D7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25:F25"/>
    <mergeCell ref="A27:F27"/>
    <mergeCell ref="A28:F28"/>
    <mergeCell ref="A32:F32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9" x14ac:dyDescent="0.3">
      <c r="A1" s="219" t="s">
        <v>35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05"/>
      <c r="E4" s="1" t="s">
        <v>242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1.19</v>
      </c>
      <c r="F15" s="12">
        <f>E15*4609.4</f>
        <v>5485.1859999999997</v>
      </c>
    </row>
    <row r="16" spans="1:9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0.76</v>
      </c>
      <c r="F16" s="10">
        <f>E16*4609.4</f>
        <v>3503.1439999999998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0.66</v>
      </c>
      <c r="F17" s="12">
        <f>E17*4609.4</f>
        <v>3042.2039999999997</v>
      </c>
    </row>
    <row r="18" spans="1:12" x14ac:dyDescent="0.3">
      <c r="A18" s="14" t="s">
        <v>20</v>
      </c>
      <c r="B18" s="15"/>
      <c r="C18" s="15"/>
      <c r="D18" s="16"/>
      <c r="F18" s="39">
        <f>SUM(F9:F17)</f>
        <v>69371.47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15.75" customHeight="1" x14ac:dyDescent="0.25">
      <c r="A21" s="86"/>
      <c r="B21" s="24"/>
      <c r="C21" s="24"/>
      <c r="D21" s="24"/>
      <c r="E21" s="40"/>
      <c r="F21" s="40"/>
    </row>
    <row r="22" spans="1:12" ht="15" x14ac:dyDescent="0.25">
      <c r="A22" s="86"/>
      <c r="B22" s="24"/>
      <c r="C22" s="24"/>
      <c r="D22" s="21"/>
      <c r="E22" s="40"/>
      <c r="F22" s="40"/>
    </row>
    <row r="23" spans="1:12" ht="15" x14ac:dyDescent="0.25">
      <c r="A23" s="86"/>
      <c r="B23" s="24"/>
      <c r="C23" s="24"/>
      <c r="D23" s="21"/>
      <c r="E23" s="40"/>
      <c r="F23" s="40"/>
    </row>
    <row r="24" spans="1:12" ht="18" customHeight="1" x14ac:dyDescent="0.3">
      <c r="A24" s="22" t="s">
        <v>21</v>
      </c>
      <c r="B24" s="5"/>
      <c r="C24" s="5"/>
      <c r="D24" s="5"/>
      <c r="E24" s="6"/>
      <c r="F24" s="6">
        <f>F21+F22+F23</f>
        <v>0</v>
      </c>
    </row>
    <row r="25" spans="1:12" ht="48.75" customHeight="1" x14ac:dyDescent="0.3">
      <c r="A25" s="230" t="s">
        <v>243</v>
      </c>
      <c r="B25" s="230"/>
      <c r="C25" s="230"/>
      <c r="D25" s="230"/>
      <c r="E25" s="230"/>
      <c r="F25" s="230"/>
      <c r="K25" s="34">
        <f>F18+F24</f>
        <v>69371.47</v>
      </c>
      <c r="L25" s="34"/>
    </row>
    <row r="26" spans="1:12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12" x14ac:dyDescent="0.3">
      <c r="A27" s="232" t="s">
        <v>8</v>
      </c>
      <c r="B27" s="232"/>
      <c r="C27" s="232"/>
      <c r="D27" s="232"/>
      <c r="E27" s="232"/>
      <c r="F27" s="232"/>
    </row>
    <row r="28" spans="1:12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12" x14ac:dyDescent="0.3">
      <c r="A29" s="104"/>
      <c r="B29" s="104"/>
      <c r="C29" s="104"/>
      <c r="D29" s="104"/>
      <c r="E29" s="104"/>
      <c r="F29" s="104"/>
    </row>
    <row r="30" spans="1:12" x14ac:dyDescent="0.3">
      <c r="A30" s="4"/>
      <c r="B30" s="4" t="s">
        <v>10</v>
      </c>
      <c r="C30" s="4"/>
      <c r="D30" s="4"/>
      <c r="E30" s="4"/>
      <c r="F30" s="4"/>
    </row>
    <row r="31" spans="1:12" x14ac:dyDescent="0.3">
      <c r="A31" s="4"/>
      <c r="B31" s="4"/>
      <c r="C31" s="4"/>
      <c r="D31" s="4"/>
      <c r="E31" s="4"/>
      <c r="F31" s="4"/>
    </row>
    <row r="32" spans="1:12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104"/>
      <c r="B33" s="104"/>
      <c r="C33" s="104"/>
      <c r="D33" s="104"/>
      <c r="E33" s="104"/>
      <c r="F33" s="104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105"/>
    </row>
    <row r="38" spans="1:6" x14ac:dyDescent="0.3">
      <c r="A38" s="105"/>
    </row>
  </sheetData>
  <mergeCells count="23">
    <mergeCell ref="A27:F27"/>
    <mergeCell ref="A28:F28"/>
    <mergeCell ref="A32:F32"/>
    <mergeCell ref="A34:F34"/>
    <mergeCell ref="A35:F35"/>
    <mergeCell ref="A26:F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25:F25"/>
    <mergeCell ref="A8:F8"/>
    <mergeCell ref="A1:I1"/>
    <mergeCell ref="A2:I2"/>
    <mergeCell ref="A4:B4"/>
    <mergeCell ref="A6:I6"/>
    <mergeCell ref="C7:D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3" workbookViewId="0">
      <selection activeCell="R6" sqref="R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12" x14ac:dyDescent="0.3">
      <c r="A1" s="219" t="s">
        <v>34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12" x14ac:dyDescent="0.3">
      <c r="A4" s="221" t="s">
        <v>19</v>
      </c>
      <c r="B4" s="221"/>
      <c r="C4" s="106"/>
      <c r="E4" s="1" t="s">
        <v>244</v>
      </c>
      <c r="F4" s="1"/>
    </row>
    <row r="6" spans="1:12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12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12" ht="15" customHeight="1" x14ac:dyDescent="0.3">
      <c r="A8" s="226" t="s">
        <v>198</v>
      </c>
      <c r="B8" s="227"/>
      <c r="C8" s="227"/>
      <c r="D8" s="227"/>
      <c r="E8" s="227"/>
      <c r="F8" s="228"/>
    </row>
    <row r="9" spans="1:12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v>16333.79</v>
      </c>
      <c r="L9">
        <v>628.79999999999995</v>
      </c>
    </row>
    <row r="10" spans="1:12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v>9453.64</v>
      </c>
      <c r="L10">
        <v>364.38</v>
      </c>
    </row>
    <row r="11" spans="1:12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v>12693.11</v>
      </c>
      <c r="L11">
        <v>443.68</v>
      </c>
    </row>
    <row r="12" spans="1:12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v>11713.1</v>
      </c>
      <c r="L12">
        <v>409.62</v>
      </c>
    </row>
    <row r="13" spans="1:12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v>4542.8999999999996</v>
      </c>
      <c r="L13">
        <v>158.68</v>
      </c>
    </row>
    <row r="14" spans="1:12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v>576.6</v>
      </c>
      <c r="L14">
        <v>22.62</v>
      </c>
    </row>
    <row r="15" spans="1:12" ht="43.2" x14ac:dyDescent="0.3">
      <c r="A15" s="8" t="s">
        <v>43</v>
      </c>
      <c r="B15" s="9" t="s">
        <v>16</v>
      </c>
      <c r="C15" s="217" t="s">
        <v>44</v>
      </c>
      <c r="D15" s="233"/>
      <c r="E15" s="10">
        <v>0.04</v>
      </c>
      <c r="F15" s="10">
        <v>-4.18</v>
      </c>
    </row>
    <row r="16" spans="1:12" ht="28.8" x14ac:dyDescent="0.3">
      <c r="A16" s="8" t="s">
        <v>45</v>
      </c>
      <c r="B16" s="9" t="s">
        <v>16</v>
      </c>
      <c r="C16" s="217" t="s">
        <v>44</v>
      </c>
      <c r="D16" s="218"/>
      <c r="E16" s="10">
        <v>0.13</v>
      </c>
      <c r="F16" s="10">
        <v>-13.57</v>
      </c>
    </row>
    <row r="17" spans="1:13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0.26</v>
      </c>
      <c r="F17" s="12">
        <v>1221.1500000000001</v>
      </c>
      <c r="K17">
        <f>F17/4609.4</f>
        <v>0.26492602074022653</v>
      </c>
      <c r="L17">
        <v>483.65</v>
      </c>
    </row>
    <row r="18" spans="1:13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0.2</v>
      </c>
      <c r="F18" s="10">
        <v>919.18</v>
      </c>
      <c r="K18">
        <f>F18/4609.4</f>
        <v>0.19941424046513648</v>
      </c>
      <c r="L18">
        <v>458.24</v>
      </c>
    </row>
    <row r="19" spans="1:13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0.66</v>
      </c>
      <c r="F19" s="12">
        <v>3034.68</v>
      </c>
      <c r="K19">
        <f>F19/4609.4</f>
        <v>0.65836768342951357</v>
      </c>
      <c r="L19">
        <v>-238</v>
      </c>
    </row>
    <row r="20" spans="1:13" ht="30.75" customHeight="1" x14ac:dyDescent="0.3">
      <c r="A20" s="8" t="s">
        <v>263</v>
      </c>
      <c r="B20" s="24" t="s">
        <v>26</v>
      </c>
      <c r="C20" s="217" t="s">
        <v>30</v>
      </c>
      <c r="D20" s="218"/>
      <c r="E20" s="114">
        <v>545.89</v>
      </c>
      <c r="F20" s="10">
        <v>-265.86</v>
      </c>
    </row>
    <row r="21" spans="1:13" x14ac:dyDescent="0.3">
      <c r="A21" s="14" t="s">
        <v>20</v>
      </c>
      <c r="B21" s="15"/>
      <c r="C21" s="15"/>
      <c r="D21" s="16"/>
      <c r="F21" s="39">
        <f>F9+F10+F11+F12+F13+F14+F15+F16+F17+F18+F19+F20</f>
        <v>60204.54</v>
      </c>
    </row>
    <row r="22" spans="1:13" ht="15" customHeight="1" x14ac:dyDescent="0.3">
      <c r="A22" s="229" t="s">
        <v>17</v>
      </c>
      <c r="B22" s="229"/>
      <c r="C22" s="229"/>
      <c r="D22" s="229"/>
      <c r="E22" s="229"/>
      <c r="F22" s="229"/>
    </row>
    <row r="23" spans="1:13" ht="110.4" x14ac:dyDescent="0.3">
      <c r="A23" s="7" t="s">
        <v>3</v>
      </c>
      <c r="B23" s="7" t="s">
        <v>24</v>
      </c>
      <c r="C23" s="24" t="s">
        <v>4</v>
      </c>
      <c r="D23" s="21" t="s">
        <v>23</v>
      </c>
      <c r="E23" s="7" t="s">
        <v>5</v>
      </c>
      <c r="F23" s="7" t="s">
        <v>6</v>
      </c>
    </row>
    <row r="24" spans="1:13" ht="58.5" customHeight="1" x14ac:dyDescent="0.3">
      <c r="A24" s="86" t="s">
        <v>246</v>
      </c>
      <c r="B24" s="24" t="s">
        <v>245</v>
      </c>
      <c r="C24" s="24" t="s">
        <v>86</v>
      </c>
      <c r="D24" s="24">
        <v>7.5</v>
      </c>
      <c r="E24" s="40">
        <f>F24/D24</f>
        <v>578</v>
      </c>
      <c r="F24" s="40">
        <v>4335</v>
      </c>
    </row>
    <row r="25" spans="1:13" ht="28.8" x14ac:dyDescent="0.3">
      <c r="A25" s="86" t="s">
        <v>247</v>
      </c>
      <c r="B25" s="24" t="s">
        <v>245</v>
      </c>
      <c r="C25" s="24" t="s">
        <v>27</v>
      </c>
      <c r="D25" s="21">
        <v>14</v>
      </c>
      <c r="E25" s="40">
        <f>F25/D25</f>
        <v>1010.5</v>
      </c>
      <c r="F25" s="40">
        <v>14147</v>
      </c>
    </row>
    <row r="26" spans="1:13" ht="28.8" x14ac:dyDescent="0.3">
      <c r="A26" s="86" t="s">
        <v>248</v>
      </c>
      <c r="B26" s="24" t="s">
        <v>245</v>
      </c>
      <c r="C26" s="24" t="s">
        <v>27</v>
      </c>
      <c r="D26" s="21">
        <v>16.5</v>
      </c>
      <c r="E26" s="40">
        <f>F26/D26</f>
        <v>1272.121212121212</v>
      </c>
      <c r="F26" s="40">
        <v>20990</v>
      </c>
    </row>
    <row r="27" spans="1:13" ht="57.6" x14ac:dyDescent="0.3">
      <c r="A27" s="86" t="s">
        <v>249</v>
      </c>
      <c r="B27" s="24" t="s">
        <v>245</v>
      </c>
      <c r="C27" s="24" t="s">
        <v>27</v>
      </c>
      <c r="D27" s="21">
        <v>3.5</v>
      </c>
      <c r="E27" s="40">
        <f>F27/D27</f>
        <v>815.42857142857144</v>
      </c>
      <c r="F27" s="40">
        <v>2854</v>
      </c>
    </row>
    <row r="28" spans="1:13" ht="18" customHeight="1" x14ac:dyDescent="0.3">
      <c r="A28" s="22" t="s">
        <v>21</v>
      </c>
      <c r="B28" s="5"/>
      <c r="C28" s="5"/>
      <c r="D28" s="5"/>
      <c r="E28" s="6"/>
      <c r="F28" s="6">
        <f>F24+F25+F26+F27</f>
        <v>42326</v>
      </c>
    </row>
    <row r="29" spans="1:13" ht="48.75" customHeight="1" x14ac:dyDescent="0.3">
      <c r="A29" s="230" t="s">
        <v>265</v>
      </c>
      <c r="B29" s="230"/>
      <c r="C29" s="230"/>
      <c r="D29" s="230"/>
      <c r="E29" s="230"/>
      <c r="F29" s="230"/>
      <c r="K29" s="34">
        <f>F21+F28</f>
        <v>102530.54000000001</v>
      </c>
      <c r="L29" s="34"/>
      <c r="M29" s="34"/>
    </row>
    <row r="30" spans="1:13" ht="33.75" customHeight="1" x14ac:dyDescent="0.3">
      <c r="A30" s="231" t="s">
        <v>7</v>
      </c>
      <c r="B30" s="231"/>
      <c r="C30" s="231"/>
      <c r="D30" s="231"/>
      <c r="E30" s="231"/>
      <c r="F30" s="231"/>
    </row>
    <row r="31" spans="1:13" x14ac:dyDescent="0.3">
      <c r="A31" s="232" t="s">
        <v>8</v>
      </c>
      <c r="B31" s="232"/>
      <c r="C31" s="232"/>
      <c r="D31" s="232"/>
      <c r="E31" s="232"/>
      <c r="F31" s="232"/>
    </row>
    <row r="32" spans="1:13" ht="32.25" customHeight="1" x14ac:dyDescent="0.3">
      <c r="A32" s="231" t="s">
        <v>9</v>
      </c>
      <c r="B32" s="231"/>
      <c r="C32" s="231"/>
      <c r="D32" s="231"/>
      <c r="E32" s="231"/>
      <c r="F32" s="231"/>
    </row>
    <row r="33" spans="1:6" x14ac:dyDescent="0.3">
      <c r="A33" s="107"/>
      <c r="B33" s="107"/>
      <c r="C33" s="107"/>
      <c r="D33" s="107"/>
      <c r="E33" s="107"/>
      <c r="F33" s="107"/>
    </row>
    <row r="34" spans="1:6" x14ac:dyDescent="0.3">
      <c r="A34" s="4"/>
      <c r="B34" s="4" t="s">
        <v>10</v>
      </c>
      <c r="C34" s="4"/>
      <c r="D34" s="4"/>
      <c r="E34" s="4"/>
      <c r="F34" s="4"/>
    </row>
    <row r="35" spans="1:6" x14ac:dyDescent="0.3">
      <c r="A35" s="4"/>
      <c r="B35" s="4"/>
      <c r="C35" s="4"/>
      <c r="D35" s="4"/>
      <c r="E35" s="4"/>
      <c r="F35" s="4"/>
    </row>
    <row r="36" spans="1:6" x14ac:dyDescent="0.3">
      <c r="A36" s="225" t="s">
        <v>11</v>
      </c>
      <c r="B36" s="225"/>
      <c r="C36" s="225"/>
      <c r="D36" s="225"/>
      <c r="E36" s="225"/>
      <c r="F36" s="225"/>
    </row>
    <row r="37" spans="1:6" x14ac:dyDescent="0.3">
      <c r="A37" s="107"/>
      <c r="B37" s="107"/>
      <c r="C37" s="107"/>
      <c r="D37" s="107"/>
      <c r="E37" s="107"/>
      <c r="F37" s="107"/>
    </row>
    <row r="38" spans="1:6" x14ac:dyDescent="0.3">
      <c r="A38" s="225" t="s">
        <v>54</v>
      </c>
      <c r="B38" s="225"/>
      <c r="C38" s="225"/>
      <c r="D38" s="225"/>
      <c r="E38" s="225"/>
      <c r="F38" s="225"/>
    </row>
    <row r="39" spans="1:6" x14ac:dyDescent="0.3">
      <c r="A39" s="225" t="s">
        <v>55</v>
      </c>
      <c r="B39" s="225"/>
      <c r="C39" s="225"/>
      <c r="D39" s="225"/>
      <c r="E39" s="225"/>
      <c r="F39" s="225"/>
    </row>
    <row r="40" spans="1:6" x14ac:dyDescent="0.3">
      <c r="A40" s="106"/>
    </row>
    <row r="42" spans="1:6" x14ac:dyDescent="0.3">
      <c r="A42" s="106"/>
    </row>
  </sheetData>
  <mergeCells count="26">
    <mergeCell ref="A8:F8"/>
    <mergeCell ref="A1:I1"/>
    <mergeCell ref="A2:I2"/>
    <mergeCell ref="A4:B4"/>
    <mergeCell ref="A6:I6"/>
    <mergeCell ref="C7:D7"/>
    <mergeCell ref="A30:F30"/>
    <mergeCell ref="C9:D9"/>
    <mergeCell ref="C10:D10"/>
    <mergeCell ref="C11:D11"/>
    <mergeCell ref="C12:D12"/>
    <mergeCell ref="C13:D13"/>
    <mergeCell ref="C14:D14"/>
    <mergeCell ref="C17:D17"/>
    <mergeCell ref="C18:D18"/>
    <mergeCell ref="C19:D19"/>
    <mergeCell ref="A22:F22"/>
    <mergeCell ref="A29:F29"/>
    <mergeCell ref="C20:D20"/>
    <mergeCell ref="C16:D16"/>
    <mergeCell ref="C15:D15"/>
    <mergeCell ref="A31:F31"/>
    <mergeCell ref="A32:F32"/>
    <mergeCell ref="A36:F36"/>
    <mergeCell ref="A38:F38"/>
    <mergeCell ref="A39:F39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9" sqref="K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2" x14ac:dyDescent="0.3">
      <c r="A1" s="219" t="s">
        <v>250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207</v>
      </c>
      <c r="B2" s="220"/>
      <c r="C2" s="220"/>
      <c r="D2" s="220"/>
      <c r="E2" s="220"/>
      <c r="F2" s="220"/>
      <c r="G2" s="220"/>
      <c r="H2" s="220"/>
      <c r="I2" s="220"/>
    </row>
    <row r="4" spans="1:12" ht="110.25" customHeight="1" x14ac:dyDescent="0.3">
      <c r="A4" s="7" t="s">
        <v>3</v>
      </c>
      <c r="B4" s="7" t="s">
        <v>24</v>
      </c>
      <c r="C4" s="223" t="s">
        <v>4</v>
      </c>
      <c r="D4" s="224"/>
      <c r="E4" s="7" t="s">
        <v>5</v>
      </c>
      <c r="F4" s="7" t="s">
        <v>6</v>
      </c>
    </row>
    <row r="5" spans="1:12" ht="15" customHeight="1" x14ac:dyDescent="0.3">
      <c r="A5" s="226" t="s">
        <v>198</v>
      </c>
      <c r="B5" s="227"/>
      <c r="C5" s="227"/>
      <c r="D5" s="227"/>
      <c r="E5" s="227"/>
      <c r="F5" s="228"/>
    </row>
    <row r="6" spans="1:12" ht="136.5" customHeight="1" x14ac:dyDescent="0.3">
      <c r="A6" s="8" t="s">
        <v>67</v>
      </c>
      <c r="B6" s="9" t="s">
        <v>12</v>
      </c>
      <c r="C6" s="217" t="s">
        <v>13</v>
      </c>
      <c r="D6" s="218"/>
      <c r="E6" s="113" t="s">
        <v>258</v>
      </c>
      <c r="F6" s="10">
        <f>'янв 2018'!F9+'фев 2018'!F9+'март 2018'!F9+'апр 2018'!F9+'май 2018'!F9+'июнь 2018'!F9+'июль 2018'!F9+'авг 2018'!F9+'сент 2018'!F9+'окт 2018'!F9+'нояб 2018'!F9+'дек 2018'!F9</f>
        <v>199880.098</v>
      </c>
      <c r="K6">
        <v>628.79999999999995</v>
      </c>
      <c r="L6" s="34">
        <f>F6-K6</f>
        <v>199251.29800000001</v>
      </c>
    </row>
    <row r="7" spans="1:12" ht="96.75" customHeight="1" x14ac:dyDescent="0.3">
      <c r="A7" s="69" t="s">
        <v>68</v>
      </c>
      <c r="B7" s="9" t="s">
        <v>12</v>
      </c>
      <c r="C7" s="217" t="s">
        <v>13</v>
      </c>
      <c r="D7" s="218"/>
      <c r="E7" s="113" t="s">
        <v>259</v>
      </c>
      <c r="F7" s="33">
        <f>'янв 2018'!F10+'фев 2018'!F10+'март 2018'!F10+'апр 2018'!F10+'май 2018'!F10+'июнь 2018'!F10+'июль 2018'!F10+'авг 2018'!F10+'сент 2018'!F10+'окт 2018'!F10+'нояб 2018'!F10+'дек 2018'!F10</f>
        <v>115792.49799999998</v>
      </c>
    </row>
    <row r="8" spans="1:12" ht="86.4" x14ac:dyDescent="0.3">
      <c r="A8" s="69" t="s">
        <v>48</v>
      </c>
      <c r="B8" s="9" t="s">
        <v>14</v>
      </c>
      <c r="C8" s="217" t="s">
        <v>13</v>
      </c>
      <c r="D8" s="218"/>
      <c r="E8" s="113" t="s">
        <v>260</v>
      </c>
      <c r="F8" s="25">
        <f>'янв 2018'!F11+'фев 2018'!F11+'март 2018'!F11+'апр 2018'!F11+'май 2018'!F11+'июнь 2018'!F11+'июль 2018'!F11+'авг 2018'!F11+'сент 2018'!F11+'окт 2018'!F11+'нояб 2018'!F11+'дек 2018'!F11</f>
        <v>143369.59999999998</v>
      </c>
    </row>
    <row r="9" spans="1:12" ht="86.4" x14ac:dyDescent="0.3">
      <c r="A9" s="69" t="s">
        <v>49</v>
      </c>
      <c r="B9" s="24" t="s">
        <v>25</v>
      </c>
      <c r="C9" s="217" t="s">
        <v>13</v>
      </c>
      <c r="D9" s="218"/>
      <c r="E9" s="113" t="s">
        <v>261</v>
      </c>
      <c r="F9" s="40">
        <f>'янв 2018'!F12+'фев 2018'!F12+'март 2018'!F12+'апр 2018'!F12+'май 2018'!F12+'июнь 2018'!F12+'июль 2018'!F12+'авг 2018'!F12+'сент 2018'!F12+'окт 2018'!F12+'нояб 2018'!F12+'дек 2018'!F12</f>
        <v>132341.09799999997</v>
      </c>
    </row>
    <row r="10" spans="1:12" ht="86.4" x14ac:dyDescent="0.3">
      <c r="A10" s="69" t="s">
        <v>50</v>
      </c>
      <c r="B10" s="24" t="s">
        <v>25</v>
      </c>
      <c r="C10" s="217" t="s">
        <v>44</v>
      </c>
      <c r="D10" s="218"/>
      <c r="E10" s="113" t="s">
        <v>262</v>
      </c>
      <c r="F10" s="40">
        <f>'янв 2018'!F13+'фев 2018'!F13+'март 2018'!F13+'апр 2018'!F13+'май 2018'!F13+'июнь 2018'!F13+'июль 2018'!F13+'авг 2018'!F13+'сент 2018'!F13+'окт 2018'!F13+'нояб 2018'!F13+'дек 2018'!F13</f>
        <v>51282.216000000008</v>
      </c>
    </row>
    <row r="11" spans="1:12" ht="28.8" x14ac:dyDescent="0.3">
      <c r="A11" s="8" t="s">
        <v>15</v>
      </c>
      <c r="B11" s="11" t="s">
        <v>16</v>
      </c>
      <c r="C11" s="217" t="s">
        <v>13</v>
      </c>
      <c r="D11" s="218"/>
      <c r="E11" s="10">
        <v>0.13</v>
      </c>
      <c r="F11" s="10">
        <f>'янв 2018'!F14+'фев 2018'!F14+'март 2018'!F14+'апр 2018'!F14+'май 2018'!F14+'июнь 2018'!F14+'июль 2018'!F14+'авг 2018'!F14+'сент 2018'!F14+'окт 2018'!F14+'нояб 2018'!F14+'дек 2018'!F14</f>
        <v>7168.0419999999986</v>
      </c>
    </row>
    <row r="12" spans="1:12" ht="43.2" x14ac:dyDescent="0.3">
      <c r="A12" s="8" t="s">
        <v>43</v>
      </c>
      <c r="B12" s="11" t="s">
        <v>16</v>
      </c>
      <c r="C12" s="217" t="s">
        <v>44</v>
      </c>
      <c r="D12" s="233"/>
      <c r="E12" s="10">
        <v>0.04</v>
      </c>
      <c r="F12" s="10">
        <f>'янв 2018'!F15+'фев 2018'!F15+'март 2018'!F15+'апр 2018'!F15+'май 2018'!F15+'июнь 2018'!F15+'дек 2018'!F15</f>
        <v>1102.0759999999998</v>
      </c>
    </row>
    <row r="13" spans="1:12" ht="28.8" x14ac:dyDescent="0.3">
      <c r="A13" s="8" t="s">
        <v>45</v>
      </c>
      <c r="B13" s="11" t="s">
        <v>16</v>
      </c>
      <c r="C13" s="217" t="s">
        <v>44</v>
      </c>
      <c r="D13" s="218"/>
      <c r="E13" s="10">
        <v>0.13</v>
      </c>
      <c r="F13" s="10">
        <f>'янв 2018'!F16+'фев 2018'!F16+'март 2018'!F16+'апр 2018'!F16+'май 2018'!F16+'июнь 2018'!F16+'дек 2018'!F16</f>
        <v>3581.7619999999993</v>
      </c>
    </row>
    <row r="14" spans="1:12" ht="57.6" x14ac:dyDescent="0.3">
      <c r="A14" s="69" t="s">
        <v>221</v>
      </c>
      <c r="B14" s="24" t="s">
        <v>89</v>
      </c>
      <c r="C14" s="217" t="s">
        <v>94</v>
      </c>
      <c r="D14" s="218"/>
      <c r="E14" s="10">
        <v>2000</v>
      </c>
      <c r="F14" s="10">
        <v>4000</v>
      </c>
      <c r="L14" s="34">
        <f>F6+F7+F8+F9+F10+F11+F12+F13+F14</f>
        <v>658517.3899999999</v>
      </c>
    </row>
    <row r="15" spans="1:12" ht="14.25" customHeight="1" x14ac:dyDescent="0.3">
      <c r="A15" s="8" t="s">
        <v>147</v>
      </c>
      <c r="B15" s="11" t="s">
        <v>16</v>
      </c>
      <c r="C15" s="217" t="s">
        <v>44</v>
      </c>
      <c r="D15" s="218"/>
      <c r="E15" s="12">
        <v>0.49</v>
      </c>
      <c r="F15" s="12">
        <f>'янв 2018'!F17+'фев 2018'!F17+'март 2018'!F17+'апр 2018'!F17+'май 2018'!F17+'июнь 2018'!F17+'июль 2018'!F15+'авг 2018'!F15+'сент 2018'!F15+'окт 2018'!F15+'нояб 2018'!F15+'дек 2018'!F17</f>
        <v>27448.635999999999</v>
      </c>
      <c r="L15">
        <f>F15/4609.4/12</f>
        <v>0.49624383506168557</v>
      </c>
    </row>
    <row r="16" spans="1:12" ht="15" customHeight="1" x14ac:dyDescent="0.3">
      <c r="A16" s="8" t="s">
        <v>190</v>
      </c>
      <c r="B16" s="11" t="s">
        <v>16</v>
      </c>
      <c r="C16" s="217" t="s">
        <v>44</v>
      </c>
      <c r="D16" s="218"/>
      <c r="E16" s="10">
        <v>0.32</v>
      </c>
      <c r="F16" s="10">
        <f>'янв 2018'!F18+'фев 2018'!F18+'март 2018'!F18+'апр 2018'!F18+'май 2018'!F18+'июнь 2018'!F18+'июль 2018'!F16+'авг 2018'!F16+'сент 2018'!F16+'окт 2018'!F16+'нояб 2018'!F16+'дек 2018'!F18</f>
        <v>18573.181999999997</v>
      </c>
      <c r="L16">
        <f>F16/4609.4/12</f>
        <v>0.3357845200387613</v>
      </c>
    </row>
    <row r="17" spans="1:12" ht="15.75" customHeight="1" x14ac:dyDescent="0.3">
      <c r="A17" s="8" t="s">
        <v>148</v>
      </c>
      <c r="B17" s="11" t="s">
        <v>16</v>
      </c>
      <c r="C17" s="217" t="s">
        <v>44</v>
      </c>
      <c r="D17" s="218"/>
      <c r="E17" s="12">
        <v>0.61</v>
      </c>
      <c r="F17" s="12">
        <f>'янв 2018'!F19+'фев 2018'!F19+'март 2018'!F19+'апр 2018'!F19+'май 2018'!F19+'июнь 2018'!F19+'июль 2018'!F17+'авг 2018'!F17+'сент 2018'!F17+'окт 2018'!F17+'нояб 2018'!F17+'дек 2018'!F19</f>
        <v>33272.343999999997</v>
      </c>
      <c r="L17">
        <f>F17/4609.4/12</f>
        <v>0.60153064028579284</v>
      </c>
    </row>
    <row r="18" spans="1:12" ht="15.75" customHeight="1" x14ac:dyDescent="0.3">
      <c r="A18" s="8" t="s">
        <v>29</v>
      </c>
      <c r="B18" s="5" t="s">
        <v>26</v>
      </c>
      <c r="C18" s="217" t="s">
        <v>30</v>
      </c>
      <c r="D18" s="218"/>
      <c r="E18" s="13">
        <v>545.89</v>
      </c>
      <c r="F18" s="12">
        <f>'янв 2018'!F20+'фев 2018'!F20+'март 2018'!F20+'апр 2018'!F20+'дек 2018'!F20</f>
        <v>69059.515999999989</v>
      </c>
    </row>
    <row r="19" spans="1:12" x14ac:dyDescent="0.3">
      <c r="A19" s="14" t="s">
        <v>20</v>
      </c>
      <c r="B19" s="15"/>
      <c r="C19" s="15"/>
      <c r="D19" s="16"/>
      <c r="F19" s="39">
        <f>F6+F7+F8+F9+F10+F11+F12+F13+F14+F15+F16+F17+F18</f>
        <v>806871.06799999985</v>
      </c>
      <c r="L19" s="34">
        <f>'янв 2018'!F21+'фев 2018'!F21+'март 2018'!F21+'апр 2018'!F21+'май 2018'!F21+'июнь 2018'!F21+'июль 2018'!F18+'авг 2018'!F18+'сент 2018'!F18+'окт 2018'!F18+'нояб 2018'!F18+'дек 2018'!F21</f>
        <v>806871.06800000009</v>
      </c>
    </row>
    <row r="20" spans="1:12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2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2" ht="28.8" x14ac:dyDescent="0.3">
      <c r="A22" s="86" t="s">
        <v>196</v>
      </c>
      <c r="B22" s="24" t="s">
        <v>195</v>
      </c>
      <c r="C22" s="24" t="s">
        <v>27</v>
      </c>
      <c r="D22" s="21">
        <v>11</v>
      </c>
      <c r="E22" s="40">
        <f>F22/D22</f>
        <v>1352.090909090909</v>
      </c>
      <c r="F22" s="24">
        <v>14873</v>
      </c>
    </row>
    <row r="23" spans="1:12" ht="43.2" x14ac:dyDescent="0.3">
      <c r="A23" s="50" t="s">
        <v>194</v>
      </c>
      <c r="B23" s="48" t="s">
        <v>195</v>
      </c>
      <c r="C23" s="48" t="s">
        <v>28</v>
      </c>
      <c r="D23" s="48">
        <v>1</v>
      </c>
      <c r="E23" s="53">
        <v>1650</v>
      </c>
      <c r="F23" s="53">
        <v>1650</v>
      </c>
    </row>
    <row r="24" spans="1:12" ht="28.8" x14ac:dyDescent="0.3">
      <c r="A24" s="50" t="s">
        <v>197</v>
      </c>
      <c r="B24" s="48" t="s">
        <v>195</v>
      </c>
      <c r="C24" s="48" t="s">
        <v>47</v>
      </c>
      <c r="D24" s="48">
        <v>1</v>
      </c>
      <c r="E24" s="53">
        <v>440</v>
      </c>
      <c r="F24" s="53">
        <v>440</v>
      </c>
    </row>
    <row r="25" spans="1:12" ht="43.2" x14ac:dyDescent="0.3">
      <c r="A25" s="86" t="s">
        <v>205</v>
      </c>
      <c r="B25" s="24" t="s">
        <v>204</v>
      </c>
      <c r="C25" s="24" t="s">
        <v>47</v>
      </c>
      <c r="D25" s="21">
        <v>1</v>
      </c>
      <c r="E25" s="40">
        <v>1762</v>
      </c>
      <c r="F25" s="40">
        <v>1762</v>
      </c>
    </row>
    <row r="26" spans="1:12" ht="28.8" x14ac:dyDescent="0.3">
      <c r="A26" s="86" t="s">
        <v>211</v>
      </c>
      <c r="B26" s="24" t="s">
        <v>209</v>
      </c>
      <c r="C26" s="24" t="s">
        <v>47</v>
      </c>
      <c r="D26" s="24">
        <v>1</v>
      </c>
      <c r="E26" s="40">
        <f t="shared" ref="E26:E33" si="0">F26/D26</f>
        <v>2921</v>
      </c>
      <c r="F26" s="40">
        <v>2921</v>
      </c>
    </row>
    <row r="27" spans="1:12" ht="43.2" x14ac:dyDescent="0.3">
      <c r="A27" s="86" t="s">
        <v>210</v>
      </c>
      <c r="B27" s="24" t="s">
        <v>209</v>
      </c>
      <c r="C27" s="24" t="s">
        <v>47</v>
      </c>
      <c r="D27" s="21">
        <v>1</v>
      </c>
      <c r="E27" s="40">
        <f t="shared" si="0"/>
        <v>440</v>
      </c>
      <c r="F27" s="40">
        <v>440</v>
      </c>
    </row>
    <row r="28" spans="1:12" ht="57.6" x14ac:dyDescent="0.3">
      <c r="A28" s="86" t="s">
        <v>215</v>
      </c>
      <c r="B28" s="24" t="s">
        <v>214</v>
      </c>
      <c r="C28" s="24" t="s">
        <v>47</v>
      </c>
      <c r="D28" s="24">
        <v>30</v>
      </c>
      <c r="E28" s="40">
        <f t="shared" si="0"/>
        <v>162.66666666666666</v>
      </c>
      <c r="F28" s="40">
        <v>4880</v>
      </c>
    </row>
    <row r="29" spans="1:12" ht="28.8" x14ac:dyDescent="0.3">
      <c r="A29" s="86" t="s">
        <v>216</v>
      </c>
      <c r="B29" s="24" t="s">
        <v>214</v>
      </c>
      <c r="C29" s="24" t="s">
        <v>28</v>
      </c>
      <c r="D29" s="21">
        <v>1</v>
      </c>
      <c r="E29" s="40">
        <f t="shared" si="0"/>
        <v>4872</v>
      </c>
      <c r="F29" s="40">
        <v>4872</v>
      </c>
    </row>
    <row r="30" spans="1:12" ht="43.2" x14ac:dyDescent="0.3">
      <c r="A30" s="86" t="s">
        <v>220</v>
      </c>
      <c r="B30" s="24" t="s">
        <v>219</v>
      </c>
      <c r="C30" s="24" t="s">
        <v>27</v>
      </c>
      <c r="D30" s="24">
        <v>16</v>
      </c>
      <c r="E30" s="40">
        <f t="shared" si="0"/>
        <v>1154.6875</v>
      </c>
      <c r="F30" s="40">
        <v>18475</v>
      </c>
    </row>
    <row r="31" spans="1:12" ht="57.6" x14ac:dyDescent="0.3">
      <c r="A31" s="86" t="s">
        <v>223</v>
      </c>
      <c r="B31" s="24" t="s">
        <v>214</v>
      </c>
      <c r="C31" s="24" t="s">
        <v>47</v>
      </c>
      <c r="D31" s="21">
        <v>1</v>
      </c>
      <c r="E31" s="40">
        <f t="shared" si="0"/>
        <v>30800</v>
      </c>
      <c r="F31" s="40">
        <v>30800</v>
      </c>
    </row>
    <row r="32" spans="1:12" ht="57.6" x14ac:dyDescent="0.3">
      <c r="A32" s="86" t="s">
        <v>226</v>
      </c>
      <c r="B32" s="24" t="s">
        <v>225</v>
      </c>
      <c r="C32" s="24" t="s">
        <v>47</v>
      </c>
      <c r="D32" s="24">
        <v>6</v>
      </c>
      <c r="E32" s="40">
        <f t="shared" si="0"/>
        <v>2399.3333333333335</v>
      </c>
      <c r="F32" s="40">
        <v>14396</v>
      </c>
    </row>
    <row r="33" spans="1:12" ht="72" x14ac:dyDescent="0.3">
      <c r="A33" s="86" t="s">
        <v>227</v>
      </c>
      <c r="B33" s="24" t="s">
        <v>225</v>
      </c>
      <c r="C33" s="24" t="s">
        <v>53</v>
      </c>
      <c r="D33" s="21">
        <v>4</v>
      </c>
      <c r="E33" s="40">
        <f t="shared" si="0"/>
        <v>1894</v>
      </c>
      <c r="F33" s="40">
        <v>7576</v>
      </c>
    </row>
    <row r="34" spans="1:12" ht="76.5" customHeight="1" x14ac:dyDescent="0.3">
      <c r="A34" s="86" t="s">
        <v>234</v>
      </c>
      <c r="B34" s="24" t="s">
        <v>233</v>
      </c>
      <c r="C34" s="24" t="s">
        <v>86</v>
      </c>
      <c r="D34" s="24">
        <v>403</v>
      </c>
      <c r="E34" s="40"/>
      <c r="F34" s="40">
        <v>75185</v>
      </c>
    </row>
    <row r="35" spans="1:12" ht="28.8" x14ac:dyDescent="0.3">
      <c r="A35" s="86" t="s">
        <v>238</v>
      </c>
      <c r="B35" s="24" t="s">
        <v>237</v>
      </c>
      <c r="C35" s="24" t="s">
        <v>27</v>
      </c>
      <c r="D35" s="24">
        <v>7.5</v>
      </c>
      <c r="E35" s="40">
        <f t="shared" ref="E35:E41" si="1">F35/D35</f>
        <v>979.6</v>
      </c>
      <c r="F35" s="40">
        <v>7347</v>
      </c>
    </row>
    <row r="36" spans="1:12" ht="57.6" x14ac:dyDescent="0.3">
      <c r="A36" s="86" t="s">
        <v>239</v>
      </c>
      <c r="B36" s="24" t="s">
        <v>237</v>
      </c>
      <c r="C36" s="24" t="s">
        <v>47</v>
      </c>
      <c r="D36" s="21">
        <v>20</v>
      </c>
      <c r="E36" s="40">
        <f t="shared" si="1"/>
        <v>668.65</v>
      </c>
      <c r="F36" s="40">
        <v>13373</v>
      </c>
    </row>
    <row r="37" spans="1:12" ht="28.8" x14ac:dyDescent="0.3">
      <c r="A37" s="86" t="s">
        <v>240</v>
      </c>
      <c r="B37" s="24" t="s">
        <v>237</v>
      </c>
      <c r="C37" s="24" t="s">
        <v>47</v>
      </c>
      <c r="D37" s="21">
        <v>1</v>
      </c>
      <c r="E37" s="40">
        <f t="shared" si="1"/>
        <v>148500</v>
      </c>
      <c r="F37" s="40">
        <v>148500</v>
      </c>
    </row>
    <row r="38" spans="1:12" ht="58.5" customHeight="1" x14ac:dyDescent="0.3">
      <c r="A38" s="86" t="s">
        <v>246</v>
      </c>
      <c r="B38" s="24" t="s">
        <v>245</v>
      </c>
      <c r="C38" s="24" t="s">
        <v>86</v>
      </c>
      <c r="D38" s="24">
        <v>7.5</v>
      </c>
      <c r="E38" s="40">
        <f t="shared" si="1"/>
        <v>578</v>
      </c>
      <c r="F38" s="40">
        <v>4335</v>
      </c>
    </row>
    <row r="39" spans="1:12" ht="28.8" x14ac:dyDescent="0.3">
      <c r="A39" s="86" t="s">
        <v>247</v>
      </c>
      <c r="B39" s="24" t="s">
        <v>245</v>
      </c>
      <c r="C39" s="24" t="s">
        <v>27</v>
      </c>
      <c r="D39" s="21">
        <v>14</v>
      </c>
      <c r="E39" s="40">
        <f t="shared" si="1"/>
        <v>1010.5</v>
      </c>
      <c r="F39" s="40">
        <v>14147</v>
      </c>
    </row>
    <row r="40" spans="1:12" ht="28.8" x14ac:dyDescent="0.3">
      <c r="A40" s="86" t="s">
        <v>248</v>
      </c>
      <c r="B40" s="24" t="s">
        <v>245</v>
      </c>
      <c r="C40" s="24" t="s">
        <v>27</v>
      </c>
      <c r="D40" s="21">
        <v>16.5</v>
      </c>
      <c r="E40" s="40">
        <f t="shared" si="1"/>
        <v>1272.121212121212</v>
      </c>
      <c r="F40" s="40">
        <v>20990</v>
      </c>
    </row>
    <row r="41" spans="1:12" ht="57.6" x14ac:dyDescent="0.3">
      <c r="A41" s="86" t="s">
        <v>249</v>
      </c>
      <c r="B41" s="24" t="s">
        <v>245</v>
      </c>
      <c r="C41" s="24" t="s">
        <v>27</v>
      </c>
      <c r="D41" s="21">
        <v>3.5</v>
      </c>
      <c r="E41" s="40">
        <f t="shared" si="1"/>
        <v>815.42857142857144</v>
      </c>
      <c r="F41" s="40">
        <v>2854</v>
      </c>
    </row>
    <row r="42" spans="1:12" ht="18" customHeight="1" x14ac:dyDescent="0.3">
      <c r="A42" s="22" t="s">
        <v>21</v>
      </c>
      <c r="B42" s="5"/>
      <c r="C42" s="5"/>
      <c r="D42" s="5"/>
      <c r="E42" s="6"/>
      <c r="F42" s="6">
        <f>F22+F23+F24+F25+F26+F27+F28+F29+F30+F31+F32+F33+F34+F35+F36+F37+F38+F39+F40+F41</f>
        <v>389816</v>
      </c>
      <c r="L42" s="34">
        <f>'янв 2018'!F27+'март 2018'!F25+'апр 2018'!F26+'май 2018'!F26+'июнь 2018'!F26+'июль 2018'!F23+'авг 2018'!F23+'сент 2018'!F23+'окт 2018'!F24+'нояб 2018'!F24+'дек 2018'!F28</f>
        <v>389816</v>
      </c>
    </row>
    <row r="43" spans="1:12" x14ac:dyDescent="0.3">
      <c r="A43" s="108"/>
    </row>
    <row r="45" spans="1:12" x14ac:dyDescent="0.3">
      <c r="A45" s="108"/>
    </row>
  </sheetData>
  <mergeCells count="18">
    <mergeCell ref="C16:D16"/>
    <mergeCell ref="C17:D17"/>
    <mergeCell ref="A20:F2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8:D18"/>
    <mergeCell ref="A1:I1"/>
    <mergeCell ref="A2:I2"/>
    <mergeCell ref="C4:D4"/>
    <mergeCell ref="A5:F5"/>
    <mergeCell ref="C15:D1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09"/>
      <c r="E4" s="1" t="s">
        <v>251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57340.936000000009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0.13</v>
      </c>
      <c r="F16" s="12">
        <f>E16*4609.4</f>
        <v>599.22199999999998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0.08</v>
      </c>
      <c r="F17" s="10">
        <f>E17*4609.4</f>
        <v>368.75199999999995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0.71</v>
      </c>
      <c r="F18" s="12">
        <f>E18*4609.4</f>
        <v>3272.6739999999995</v>
      </c>
    </row>
    <row r="19" spans="1:13" x14ac:dyDescent="0.3">
      <c r="A19" s="117" t="s">
        <v>20</v>
      </c>
      <c r="B19" s="115"/>
      <c r="C19" s="115"/>
      <c r="D19" s="118"/>
      <c r="E19" s="119"/>
      <c r="F19" s="120">
        <f>F15+F16+F17+F18</f>
        <v>61581.58400000001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62.25" customHeight="1" x14ac:dyDescent="0.3">
      <c r="A22" s="86" t="s">
        <v>253</v>
      </c>
      <c r="B22" s="24" t="s">
        <v>252</v>
      </c>
      <c r="C22" s="24" t="s">
        <v>28</v>
      </c>
      <c r="D22" s="24">
        <v>1.5</v>
      </c>
      <c r="E22" s="40">
        <f>F22/D22</f>
        <v>1925.3333333333333</v>
      </c>
      <c r="F22" s="40">
        <v>2888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2888</v>
      </c>
    </row>
    <row r="27" spans="1:13" ht="48.75" customHeight="1" x14ac:dyDescent="0.3">
      <c r="A27" s="230" t="s">
        <v>257</v>
      </c>
      <c r="B27" s="230"/>
      <c r="C27" s="230"/>
      <c r="D27" s="230"/>
      <c r="E27" s="230"/>
      <c r="F27" s="230"/>
      <c r="K27" s="34">
        <f>F19+F26</f>
        <v>64469.58400000001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10"/>
      <c r="B31" s="110"/>
      <c r="C31" s="110"/>
      <c r="D31" s="110"/>
      <c r="E31" s="110"/>
      <c r="F31" s="110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10"/>
      <c r="B35" s="110"/>
      <c r="C35" s="110"/>
      <c r="D35" s="110"/>
      <c r="E35" s="110"/>
      <c r="F35" s="110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109"/>
    </row>
    <row r="40" spans="1:6" x14ac:dyDescent="0.3">
      <c r="A40" s="109"/>
    </row>
  </sheetData>
  <mergeCells count="24">
    <mergeCell ref="A8:F8"/>
    <mergeCell ref="A1:I1"/>
    <mergeCell ref="A2:I2"/>
    <mergeCell ref="A4:B4"/>
    <mergeCell ref="A6:I6"/>
    <mergeCell ref="C7:D7"/>
    <mergeCell ref="A28:F28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A20:F20"/>
    <mergeCell ref="A27:F27"/>
    <mergeCell ref="A15:E15"/>
    <mergeCell ref="A29:F29"/>
    <mergeCell ref="A30:F30"/>
    <mergeCell ref="A34:F34"/>
    <mergeCell ref="A36:F36"/>
    <mergeCell ref="A37:F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" workbookViewId="0">
      <selection activeCell="F17" sqref="F1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5"/>
      <c r="E4" s="1" t="s">
        <v>75</v>
      </c>
      <c r="F4" s="1"/>
    </row>
    <row r="6" spans="1:9" ht="175.5" customHeight="1" x14ac:dyDescent="0.3">
      <c r="A6" s="222" t="s">
        <v>69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6">
        <v>2.17</v>
      </c>
      <c r="F12" s="6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6">
        <v>0.84</v>
      </c>
      <c r="F13" s="6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2">
        <v>0.13</v>
      </c>
      <c r="F14" s="12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2">
        <v>0.04</v>
      </c>
      <c r="F15" s="12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6.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28.8" x14ac:dyDescent="0.3">
      <c r="A21" s="22" t="s">
        <v>76</v>
      </c>
      <c r="B21" s="5" t="s">
        <v>77</v>
      </c>
      <c r="C21" s="5" t="s">
        <v>47</v>
      </c>
      <c r="D21" s="23">
        <v>1</v>
      </c>
      <c r="E21" s="30">
        <f>F21/D21</f>
        <v>440</v>
      </c>
      <c r="F21" s="5">
        <v>440</v>
      </c>
    </row>
    <row r="22" spans="1:6" x14ac:dyDescent="0.3">
      <c r="A22" s="22" t="s">
        <v>21</v>
      </c>
      <c r="B22" s="5"/>
      <c r="C22" s="5"/>
      <c r="D22" s="5"/>
      <c r="E22" s="6"/>
      <c r="F22" s="30">
        <f>SUM(F21:F21)</f>
        <v>440</v>
      </c>
    </row>
    <row r="23" spans="1:6" ht="33" customHeight="1" x14ac:dyDescent="0.25">
      <c r="A23" s="22"/>
      <c r="B23" s="5"/>
      <c r="C23" s="5"/>
      <c r="D23" s="5"/>
      <c r="E23" s="6"/>
      <c r="F23" s="5"/>
    </row>
    <row r="24" spans="1:6" ht="43.5" customHeight="1" x14ac:dyDescent="0.3">
      <c r="A24" s="230" t="s">
        <v>78</v>
      </c>
      <c r="B24" s="230"/>
      <c r="C24" s="230"/>
      <c r="D24" s="230"/>
      <c r="E24" s="230"/>
      <c r="F24" s="230"/>
    </row>
    <row r="25" spans="1:6" ht="28.5" customHeight="1" x14ac:dyDescent="0.3">
      <c r="A25" s="231" t="s">
        <v>7</v>
      </c>
      <c r="B25" s="231"/>
      <c r="C25" s="231"/>
      <c r="D25" s="231"/>
      <c r="E25" s="231"/>
      <c r="F25" s="231"/>
    </row>
    <row r="26" spans="1:6" ht="18.75" customHeight="1" x14ac:dyDescent="0.3">
      <c r="A26" s="232" t="s">
        <v>8</v>
      </c>
      <c r="B26" s="232"/>
      <c r="C26" s="232"/>
      <c r="D26" s="232"/>
      <c r="E26" s="232"/>
      <c r="F26" s="232"/>
    </row>
    <row r="27" spans="1:6" ht="29.25" customHeight="1" x14ac:dyDescent="0.3">
      <c r="A27" s="231" t="s">
        <v>9</v>
      </c>
      <c r="B27" s="231"/>
      <c r="C27" s="231"/>
      <c r="D27" s="231"/>
      <c r="E27" s="231"/>
      <c r="F27" s="231"/>
    </row>
    <row r="28" spans="1:6" ht="15.75" customHeight="1" x14ac:dyDescent="0.3">
      <c r="A28" s="36"/>
      <c r="B28" s="36"/>
      <c r="C28" s="36"/>
      <c r="D28" s="36"/>
      <c r="E28" s="36"/>
      <c r="F28" s="36"/>
    </row>
    <row r="29" spans="1:6" x14ac:dyDescent="0.3">
      <c r="A29" s="4"/>
      <c r="B29" s="4" t="s">
        <v>10</v>
      </c>
      <c r="C29" s="4"/>
      <c r="D29" s="4"/>
      <c r="E29" s="4"/>
      <c r="F29" s="4"/>
    </row>
    <row r="30" spans="1:6" x14ac:dyDescent="0.3">
      <c r="A30" s="4"/>
      <c r="B30" s="4"/>
      <c r="C30" s="4"/>
      <c r="D30" s="4"/>
      <c r="E30" s="4"/>
      <c r="F30" s="4"/>
    </row>
    <row r="31" spans="1:6" x14ac:dyDescent="0.3">
      <c r="A31" s="225" t="s">
        <v>11</v>
      </c>
      <c r="B31" s="225"/>
      <c r="C31" s="225"/>
      <c r="D31" s="225"/>
      <c r="E31" s="225"/>
      <c r="F31" s="225"/>
    </row>
    <row r="32" spans="1:6" x14ac:dyDescent="0.3">
      <c r="A32" s="36"/>
      <c r="B32" s="36"/>
      <c r="C32" s="36"/>
      <c r="D32" s="36"/>
      <c r="E32" s="36"/>
      <c r="F32" s="36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x14ac:dyDescent="0.3">
      <c r="A35" s="35"/>
    </row>
    <row r="37" spans="1:6" x14ac:dyDescent="0.3">
      <c r="A37" s="35"/>
    </row>
  </sheetData>
  <mergeCells count="23">
    <mergeCell ref="C13:D13"/>
    <mergeCell ref="C14:D14"/>
    <mergeCell ref="C15:D15"/>
    <mergeCell ref="A8:F8"/>
    <mergeCell ref="C9:D9"/>
    <mergeCell ref="C10:D10"/>
    <mergeCell ref="C11:D11"/>
    <mergeCell ref="C12:D12"/>
    <mergeCell ref="A1:I1"/>
    <mergeCell ref="A2:I2"/>
    <mergeCell ref="A4:B4"/>
    <mergeCell ref="A6:I6"/>
    <mergeCell ref="C7:D7"/>
    <mergeCell ref="A31:F31"/>
    <mergeCell ref="A33:F33"/>
    <mergeCell ref="A34:F34"/>
    <mergeCell ref="C16:D16"/>
    <mergeCell ref="C17:D17"/>
    <mergeCell ref="A19:F19"/>
    <mergeCell ref="A24:F24"/>
    <mergeCell ref="A25:F25"/>
    <mergeCell ref="A27:F27"/>
    <mergeCell ref="A26:F26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12"/>
      <c r="E4" s="1" t="s">
        <v>254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57340.936000000009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0.24</v>
      </c>
      <c r="F16" s="12">
        <f>E16*4609.4</f>
        <v>1106.2559999999999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0.15</v>
      </c>
      <c r="F17" s="10">
        <f>E17*4609.4</f>
        <v>691.41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1.24</v>
      </c>
      <c r="F18" s="12">
        <f>E18*4609.4</f>
        <v>5715.6559999999999</v>
      </c>
    </row>
    <row r="19" spans="1:13" x14ac:dyDescent="0.3">
      <c r="A19" s="117" t="s">
        <v>20</v>
      </c>
      <c r="B19" s="115"/>
      <c r="C19" s="115"/>
      <c r="D19" s="118"/>
      <c r="E19" s="119"/>
      <c r="F19" s="120">
        <f>F15+F16+F17+F18</f>
        <v>64854.258000000016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62.25" customHeight="1" x14ac:dyDescent="0.3">
      <c r="A22" s="86" t="s">
        <v>256</v>
      </c>
      <c r="B22" s="24" t="s">
        <v>255</v>
      </c>
      <c r="C22" s="24" t="s">
        <v>28</v>
      </c>
      <c r="D22" s="24">
        <v>0.5</v>
      </c>
      <c r="E22" s="40">
        <v>1210</v>
      </c>
      <c r="F22" s="40">
        <f>E22*D22</f>
        <v>605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605</v>
      </c>
    </row>
    <row r="27" spans="1:13" ht="48.75" customHeight="1" x14ac:dyDescent="0.3">
      <c r="A27" s="230" t="s">
        <v>266</v>
      </c>
      <c r="B27" s="230"/>
      <c r="C27" s="230"/>
      <c r="D27" s="230"/>
      <c r="E27" s="230"/>
      <c r="F27" s="230"/>
      <c r="K27" s="34">
        <f>F19+F26</f>
        <v>65459.258000000016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11"/>
      <c r="B31" s="111"/>
      <c r="C31" s="111"/>
      <c r="D31" s="111"/>
      <c r="E31" s="111"/>
      <c r="F31" s="111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11"/>
      <c r="B35" s="111"/>
      <c r="C35" s="111"/>
      <c r="D35" s="111"/>
      <c r="E35" s="111"/>
      <c r="F35" s="111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112"/>
    </row>
    <row r="40" spans="1:6" x14ac:dyDescent="0.3">
      <c r="A40" s="112"/>
    </row>
  </sheetData>
  <mergeCells count="24">
    <mergeCell ref="A29:F29"/>
    <mergeCell ref="A30:F30"/>
    <mergeCell ref="A34:F34"/>
    <mergeCell ref="A36:F36"/>
    <mergeCell ref="A37:F37"/>
    <mergeCell ref="A28:F28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A20:F20"/>
    <mergeCell ref="A27:F27"/>
    <mergeCell ref="A15:E15"/>
    <mergeCell ref="A8:F8"/>
    <mergeCell ref="A1:I1"/>
    <mergeCell ref="A2:I2"/>
    <mergeCell ref="A4:B4"/>
    <mergeCell ref="A6:I6"/>
    <mergeCell ref="C7:D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24"/>
      <c r="E4" s="1" t="s">
        <v>267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57340.936000000009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0.36</v>
      </c>
      <c r="F16" s="12">
        <f>E16*4609.4</f>
        <v>1659.3839999999998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0.23</v>
      </c>
      <c r="F17" s="10">
        <f>E17*4609.4</f>
        <v>1060.162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0.67</v>
      </c>
      <c r="F18" s="12">
        <f>E18*4609.4</f>
        <v>3088.2979999999998</v>
      </c>
    </row>
    <row r="19" spans="1:13" x14ac:dyDescent="0.3">
      <c r="A19" s="117" t="s">
        <v>20</v>
      </c>
      <c r="B19" s="125"/>
      <c r="C19" s="125"/>
      <c r="D19" s="118"/>
      <c r="E19" s="119"/>
      <c r="F19" s="120">
        <f>F15+F16+F17+F18</f>
        <v>63148.780000000006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62.25" customHeight="1" x14ac:dyDescent="0.3">
      <c r="A22" s="86" t="s">
        <v>268</v>
      </c>
      <c r="B22" s="24" t="s">
        <v>269</v>
      </c>
      <c r="C22" s="24" t="s">
        <v>28</v>
      </c>
      <c r="D22" s="24">
        <v>0.5</v>
      </c>
      <c r="E22" s="40">
        <v>1210</v>
      </c>
      <c r="F22" s="40">
        <f>E22*D22</f>
        <v>605</v>
      </c>
    </row>
    <row r="23" spans="1:13" ht="28.8" x14ac:dyDescent="0.3">
      <c r="A23" s="86" t="s">
        <v>270</v>
      </c>
      <c r="B23" s="24" t="s">
        <v>269</v>
      </c>
      <c r="C23" s="24" t="s">
        <v>47</v>
      </c>
      <c r="D23" s="21">
        <v>1</v>
      </c>
      <c r="E23" s="40">
        <v>440</v>
      </c>
      <c r="F23" s="40">
        <v>440</v>
      </c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1045</v>
      </c>
    </row>
    <row r="27" spans="1:13" ht="48.75" customHeight="1" x14ac:dyDescent="0.3">
      <c r="A27" s="230" t="s">
        <v>272</v>
      </c>
      <c r="B27" s="230"/>
      <c r="C27" s="230"/>
      <c r="D27" s="230"/>
      <c r="E27" s="230"/>
      <c r="F27" s="230"/>
      <c r="K27" s="34">
        <f>F19+F26</f>
        <v>64193.780000000006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26"/>
      <c r="B31" s="126"/>
      <c r="C31" s="126"/>
      <c r="D31" s="126"/>
      <c r="E31" s="126"/>
      <c r="F31" s="126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26"/>
      <c r="B35" s="126"/>
      <c r="C35" s="126"/>
      <c r="D35" s="126"/>
      <c r="E35" s="126"/>
      <c r="F35" s="126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124"/>
    </row>
    <row r="40" spans="1:6" x14ac:dyDescent="0.3">
      <c r="A40" s="124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41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27"/>
      <c r="E4" s="1" t="s">
        <v>271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57340.936000000009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0.21</v>
      </c>
      <c r="F16" s="12">
        <f>E16*4609.4</f>
        <v>967.97399999999993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0.14000000000000001</v>
      </c>
      <c r="F17" s="10">
        <f>E17*4609.4</f>
        <v>645.31600000000003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0.62</v>
      </c>
      <c r="F18" s="12">
        <f>E18*4609.4</f>
        <v>2857.828</v>
      </c>
    </row>
    <row r="19" spans="1:13" x14ac:dyDescent="0.3">
      <c r="A19" s="117" t="s">
        <v>20</v>
      </c>
      <c r="B19" s="128"/>
      <c r="C19" s="128"/>
      <c r="D19" s="118"/>
      <c r="E19" s="119"/>
      <c r="F19" s="120">
        <f>F15+F16+F17+F18</f>
        <v>61812.054000000011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43.5" customHeight="1" x14ac:dyDescent="0.3">
      <c r="A22" s="86" t="s">
        <v>273</v>
      </c>
      <c r="B22" s="24" t="s">
        <v>274</v>
      </c>
      <c r="C22" s="24" t="s">
        <v>27</v>
      </c>
      <c r="D22" s="24">
        <v>2.5</v>
      </c>
      <c r="E22" s="40">
        <f>F22/D22</f>
        <v>1255.2</v>
      </c>
      <c r="F22" s="40">
        <v>3138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3138</v>
      </c>
    </row>
    <row r="27" spans="1:13" ht="48.75" customHeight="1" x14ac:dyDescent="0.3">
      <c r="A27" s="230" t="s">
        <v>275</v>
      </c>
      <c r="B27" s="230"/>
      <c r="C27" s="230"/>
      <c r="D27" s="230"/>
      <c r="E27" s="230"/>
      <c r="F27" s="230"/>
      <c r="K27" s="34">
        <f>F19+F26</f>
        <v>64950.054000000011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29"/>
      <c r="B31" s="129"/>
      <c r="C31" s="129"/>
      <c r="D31" s="129"/>
      <c r="E31" s="129"/>
      <c r="F31" s="129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29"/>
      <c r="B35" s="129"/>
      <c r="C35" s="129"/>
      <c r="D35" s="129"/>
      <c r="E35" s="129"/>
      <c r="F35" s="129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127"/>
    </row>
    <row r="40" spans="1:6" x14ac:dyDescent="0.3">
      <c r="A40" s="127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42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32"/>
      <c r="E4" s="1" t="s">
        <v>276</v>
      </c>
      <c r="F4" s="1"/>
    </row>
    <row r="6" spans="1:9" ht="175.5" customHeight="1" x14ac:dyDescent="0.3">
      <c r="A6" s="222" t="s">
        <v>228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198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3.68</v>
      </c>
      <c r="F9" s="10">
        <f t="shared" ref="F9:F14" si="0">E9*4609.4</f>
        <v>16962.592000000001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2.13</v>
      </c>
      <c r="F10" s="33">
        <f t="shared" si="0"/>
        <v>9818.021999999999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2.85</v>
      </c>
      <c r="F11" s="25">
        <f t="shared" si="0"/>
        <v>13136.789999999999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2.63</v>
      </c>
      <c r="F12" s="40">
        <f t="shared" si="0"/>
        <v>12122.721999999998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1.02</v>
      </c>
      <c r="F13" s="40">
        <f t="shared" si="0"/>
        <v>4701.5879999999997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599.22199999999998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57340.936000000009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0.16</v>
      </c>
      <c r="F16" s="12">
        <f>E16*4609.4</f>
        <v>737.50399999999991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0.1</v>
      </c>
      <c r="F17" s="10">
        <f>E17*4609.4</f>
        <v>460.94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0.47</v>
      </c>
      <c r="F18" s="12">
        <f>E18*4609.4</f>
        <v>2166.4179999999997</v>
      </c>
    </row>
    <row r="19" spans="1:13" x14ac:dyDescent="0.3">
      <c r="A19" s="117" t="s">
        <v>20</v>
      </c>
      <c r="B19" s="130"/>
      <c r="C19" s="130"/>
      <c r="D19" s="118"/>
      <c r="E19" s="119"/>
      <c r="F19" s="120">
        <f>F15+F16+F17+F18</f>
        <v>60705.79800000001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43.5" customHeight="1" x14ac:dyDescent="0.3">
      <c r="A22" s="86" t="s">
        <v>277</v>
      </c>
      <c r="B22" s="24" t="s">
        <v>280</v>
      </c>
      <c r="C22" s="24" t="s">
        <v>27</v>
      </c>
      <c r="D22" s="24">
        <v>17</v>
      </c>
      <c r="E22" s="40">
        <f>F22/D22</f>
        <v>1170.1176470588234</v>
      </c>
      <c r="F22" s="40">
        <v>19892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19892</v>
      </c>
    </row>
    <row r="27" spans="1:13" ht="48.75" customHeight="1" x14ac:dyDescent="0.3">
      <c r="A27" s="230" t="s">
        <v>278</v>
      </c>
      <c r="B27" s="230"/>
      <c r="C27" s="230"/>
      <c r="D27" s="230"/>
      <c r="E27" s="230"/>
      <c r="F27" s="230"/>
      <c r="K27" s="34">
        <f>F19+F26</f>
        <v>80597.79800000001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31"/>
      <c r="B31" s="131"/>
      <c r="C31" s="131"/>
      <c r="D31" s="131"/>
      <c r="E31" s="131"/>
      <c r="F31" s="131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31"/>
      <c r="B35" s="131"/>
      <c r="C35" s="131"/>
      <c r="D35" s="131"/>
      <c r="E35" s="131"/>
      <c r="F35" s="131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55</v>
      </c>
      <c r="B37" s="225"/>
      <c r="C37" s="225"/>
      <c r="D37" s="225"/>
      <c r="E37" s="225"/>
      <c r="F37" s="225"/>
    </row>
    <row r="38" spans="1:6" x14ac:dyDescent="0.3">
      <c r="A38" s="132"/>
    </row>
    <row r="40" spans="1:6" x14ac:dyDescent="0.3">
      <c r="A40" s="132"/>
    </row>
  </sheetData>
  <mergeCells count="24"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A15" sqref="A15:F1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12" x14ac:dyDescent="0.3">
      <c r="A1" s="219" t="s">
        <v>40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12" x14ac:dyDescent="0.3">
      <c r="A4" s="221" t="s">
        <v>19</v>
      </c>
      <c r="B4" s="221"/>
      <c r="C4" s="135"/>
      <c r="E4" s="1" t="s">
        <v>279</v>
      </c>
      <c r="F4" s="1"/>
    </row>
    <row r="6" spans="1:12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12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12" ht="15" customHeight="1" x14ac:dyDescent="0.3">
      <c r="A8" s="226" t="s">
        <v>286</v>
      </c>
      <c r="B8" s="227"/>
      <c r="C8" s="227"/>
      <c r="D8" s="227"/>
      <c r="E8" s="227"/>
      <c r="F8" s="228"/>
    </row>
    <row r="9" spans="1:12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 t="shared" ref="F9:F14" si="0">E9*4609.2</f>
        <v>18114.155999999999</v>
      </c>
    </row>
    <row r="10" spans="1:12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si="0"/>
        <v>10462.884</v>
      </c>
    </row>
    <row r="11" spans="1:12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14841.624</v>
      </c>
    </row>
    <row r="12" spans="1:12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13735.415999999999</v>
      </c>
    </row>
    <row r="13" spans="1:12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5346.6719999999996</v>
      </c>
    </row>
    <row r="14" spans="1:12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599.19600000000003</v>
      </c>
    </row>
    <row r="15" spans="1:12" ht="57.6" x14ac:dyDescent="0.3">
      <c r="A15" s="69" t="s">
        <v>283</v>
      </c>
      <c r="B15" s="24" t="s">
        <v>89</v>
      </c>
      <c r="C15" s="217" t="s">
        <v>94</v>
      </c>
      <c r="D15" s="218"/>
      <c r="E15" s="10">
        <v>7.0000000000000007E-2</v>
      </c>
      <c r="F15" s="10">
        <v>3900</v>
      </c>
      <c r="L15">
        <v>13.76</v>
      </c>
    </row>
    <row r="16" spans="1:12" x14ac:dyDescent="0.3">
      <c r="A16" s="242" t="s">
        <v>264</v>
      </c>
      <c r="B16" s="243"/>
      <c r="C16" s="243"/>
      <c r="D16" s="243"/>
      <c r="E16" s="244"/>
      <c r="F16" s="116">
        <f>F9+F10+F11+F12+F13+F14+F15</f>
        <v>66999.948000000004</v>
      </c>
    </row>
    <row r="17" spans="1:13" ht="14.25" customHeight="1" x14ac:dyDescent="0.3">
      <c r="A17" s="8" t="s">
        <v>147</v>
      </c>
      <c r="B17" s="11" t="s">
        <v>16</v>
      </c>
      <c r="C17" s="217" t="s">
        <v>44</v>
      </c>
      <c r="D17" s="218"/>
      <c r="E17" s="12">
        <v>0.21</v>
      </c>
      <c r="F17" s="12">
        <f>E17*4609.2</f>
        <v>967.9319999999999</v>
      </c>
    </row>
    <row r="18" spans="1:13" ht="15" customHeight="1" x14ac:dyDescent="0.3">
      <c r="A18" s="8" t="s">
        <v>190</v>
      </c>
      <c r="B18" s="11" t="s">
        <v>16</v>
      </c>
      <c r="C18" s="217" t="s">
        <v>44</v>
      </c>
      <c r="D18" s="218"/>
      <c r="E18" s="10">
        <v>0.14000000000000001</v>
      </c>
      <c r="F18" s="10">
        <f>E18*4609.2</f>
        <v>645.28800000000001</v>
      </c>
    </row>
    <row r="19" spans="1:13" ht="15.75" customHeight="1" x14ac:dyDescent="0.3">
      <c r="A19" s="8" t="s">
        <v>148</v>
      </c>
      <c r="B19" s="11" t="s">
        <v>16</v>
      </c>
      <c r="C19" s="217" t="s">
        <v>44</v>
      </c>
      <c r="D19" s="218"/>
      <c r="E19" s="12">
        <v>0.39</v>
      </c>
      <c r="F19" s="12">
        <f>E19*4609.2</f>
        <v>1797.588</v>
      </c>
    </row>
    <row r="20" spans="1:13" x14ac:dyDescent="0.3">
      <c r="A20" s="117" t="s">
        <v>20</v>
      </c>
      <c r="B20" s="133"/>
      <c r="C20" s="133"/>
      <c r="D20" s="118"/>
      <c r="E20" s="119"/>
      <c r="F20" s="120">
        <f>F16+F17+F18+F19</f>
        <v>70410.756000000008</v>
      </c>
    </row>
    <row r="21" spans="1:13" ht="15" customHeight="1" x14ac:dyDescent="0.3">
      <c r="A21" s="229" t="s">
        <v>17</v>
      </c>
      <c r="B21" s="229"/>
      <c r="C21" s="229"/>
      <c r="D21" s="229"/>
      <c r="E21" s="229"/>
      <c r="F21" s="229"/>
    </row>
    <row r="22" spans="1:13" ht="110.4" x14ac:dyDescent="0.3">
      <c r="A22" s="7" t="s">
        <v>3</v>
      </c>
      <c r="B22" s="7" t="s">
        <v>24</v>
      </c>
      <c r="C22" s="24" t="s">
        <v>4</v>
      </c>
      <c r="D22" s="21" t="s">
        <v>23</v>
      </c>
      <c r="E22" s="7" t="s">
        <v>5</v>
      </c>
      <c r="F22" s="7" t="s">
        <v>6</v>
      </c>
    </row>
    <row r="23" spans="1:13" ht="32.25" customHeight="1" x14ac:dyDescent="0.3">
      <c r="A23" s="86" t="s">
        <v>285</v>
      </c>
      <c r="B23" s="24" t="s">
        <v>284</v>
      </c>
      <c r="C23" s="24" t="s">
        <v>47</v>
      </c>
      <c r="D23" s="24">
        <v>1</v>
      </c>
      <c r="E23" s="40">
        <f>F23/D23</f>
        <v>2145</v>
      </c>
      <c r="F23" s="40">
        <v>2145</v>
      </c>
    </row>
    <row r="24" spans="1:13" ht="15" x14ac:dyDescent="0.25">
      <c r="A24" s="86"/>
      <c r="B24" s="24"/>
      <c r="C24" s="24"/>
      <c r="D24" s="21"/>
      <c r="E24" s="40"/>
      <c r="F24" s="40"/>
    </row>
    <row r="25" spans="1:13" ht="15" x14ac:dyDescent="0.25">
      <c r="A25" s="86"/>
      <c r="B25" s="24"/>
      <c r="C25" s="24"/>
      <c r="D25" s="21"/>
      <c r="E25" s="40"/>
      <c r="F25" s="40"/>
    </row>
    <row r="26" spans="1:13" ht="15" x14ac:dyDescent="0.25">
      <c r="A26" s="86"/>
      <c r="B26" s="24"/>
      <c r="C26" s="24"/>
      <c r="D26" s="21"/>
      <c r="E26" s="40"/>
      <c r="F26" s="40"/>
    </row>
    <row r="27" spans="1:13" ht="18" customHeight="1" x14ac:dyDescent="0.3">
      <c r="A27" s="121" t="s">
        <v>21</v>
      </c>
      <c r="B27" s="122"/>
      <c r="C27" s="122"/>
      <c r="D27" s="122"/>
      <c r="E27" s="123"/>
      <c r="F27" s="123">
        <f>F23+F24+F25+F26</f>
        <v>2145</v>
      </c>
    </row>
    <row r="28" spans="1:13" ht="48.75" customHeight="1" x14ac:dyDescent="0.3">
      <c r="A28" s="230" t="s">
        <v>287</v>
      </c>
      <c r="B28" s="230"/>
      <c r="C28" s="230"/>
      <c r="D28" s="230"/>
      <c r="E28" s="230"/>
      <c r="F28" s="230"/>
      <c r="K28" s="34">
        <f>F20+F27</f>
        <v>72555.756000000008</v>
      </c>
      <c r="L28" s="34"/>
      <c r="M28" s="34"/>
    </row>
    <row r="29" spans="1:13" ht="33.75" customHeight="1" x14ac:dyDescent="0.3">
      <c r="A29" s="231" t="s">
        <v>7</v>
      </c>
      <c r="B29" s="231"/>
      <c r="C29" s="231"/>
      <c r="D29" s="231"/>
      <c r="E29" s="231"/>
      <c r="F29" s="231"/>
    </row>
    <row r="30" spans="1:13" x14ac:dyDescent="0.3">
      <c r="A30" s="232" t="s">
        <v>8</v>
      </c>
      <c r="B30" s="232"/>
      <c r="C30" s="232"/>
      <c r="D30" s="232"/>
      <c r="E30" s="232"/>
      <c r="F30" s="232"/>
    </row>
    <row r="31" spans="1:13" ht="32.25" customHeight="1" x14ac:dyDescent="0.3">
      <c r="A31" s="231" t="s">
        <v>9</v>
      </c>
      <c r="B31" s="231"/>
      <c r="C31" s="231"/>
      <c r="D31" s="231"/>
      <c r="E31" s="231"/>
      <c r="F31" s="231"/>
    </row>
    <row r="32" spans="1:13" x14ac:dyDescent="0.3">
      <c r="A32" s="134"/>
      <c r="B32" s="134"/>
      <c r="C32" s="134"/>
      <c r="D32" s="134"/>
      <c r="E32" s="134"/>
      <c r="F32" s="134"/>
    </row>
    <row r="33" spans="1:6" x14ac:dyDescent="0.3">
      <c r="A33" s="4"/>
      <c r="B33" s="4" t="s">
        <v>10</v>
      </c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  <row r="35" spans="1:6" x14ac:dyDescent="0.3">
      <c r="A35" s="225" t="s">
        <v>11</v>
      </c>
      <c r="B35" s="225"/>
      <c r="C35" s="225"/>
      <c r="D35" s="225"/>
      <c r="E35" s="225"/>
      <c r="F35" s="225"/>
    </row>
    <row r="36" spans="1:6" x14ac:dyDescent="0.3">
      <c r="A36" s="134"/>
      <c r="B36" s="134"/>
      <c r="C36" s="134"/>
      <c r="D36" s="134"/>
      <c r="E36" s="134"/>
      <c r="F36" s="134"/>
    </row>
    <row r="37" spans="1:6" x14ac:dyDescent="0.3">
      <c r="A37" s="225" t="s">
        <v>54</v>
      </c>
      <c r="B37" s="225"/>
      <c r="C37" s="225"/>
      <c r="D37" s="225"/>
      <c r="E37" s="225"/>
      <c r="F37" s="225"/>
    </row>
    <row r="38" spans="1:6" x14ac:dyDescent="0.3">
      <c r="A38" s="225" t="s">
        <v>281</v>
      </c>
      <c r="B38" s="225"/>
      <c r="C38" s="225"/>
      <c r="D38" s="225"/>
      <c r="E38" s="225"/>
      <c r="F38" s="225"/>
    </row>
    <row r="39" spans="1:6" x14ac:dyDescent="0.3">
      <c r="A39" s="135"/>
    </row>
    <row r="41" spans="1:6" x14ac:dyDescent="0.3">
      <c r="A41" s="135"/>
    </row>
  </sheetData>
  <mergeCells count="25">
    <mergeCell ref="C15:D15"/>
    <mergeCell ref="A29:F29"/>
    <mergeCell ref="A30:F30"/>
    <mergeCell ref="A31:F31"/>
    <mergeCell ref="A35:F35"/>
    <mergeCell ref="A37:F37"/>
    <mergeCell ref="A38:F38"/>
    <mergeCell ref="A16:E16"/>
    <mergeCell ref="C17:D17"/>
    <mergeCell ref="C18:D18"/>
    <mergeCell ref="C19:D19"/>
    <mergeCell ref="A21:F21"/>
    <mergeCell ref="A28:F28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39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36"/>
      <c r="E4" s="1" t="s">
        <v>288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 t="shared" ref="F9:F14" si="0"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si="0"/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63091.734000000004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0.18</v>
      </c>
      <c r="F16" s="12">
        <f>E16*4608.6</f>
        <v>829.548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0.12</v>
      </c>
      <c r="F17" s="10">
        <f>E17*4608.6</f>
        <v>553.03200000000004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0.46</v>
      </c>
      <c r="F18" s="12">
        <f>E18*4608.6</f>
        <v>2119.9560000000001</v>
      </c>
    </row>
    <row r="19" spans="1:13" x14ac:dyDescent="0.3">
      <c r="A19" s="117" t="s">
        <v>20</v>
      </c>
      <c r="B19" s="137"/>
      <c r="C19" s="137"/>
      <c r="D19" s="118"/>
      <c r="E19" s="119"/>
      <c r="F19" s="120">
        <f>F15+F16+F17+F18</f>
        <v>66594.27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92.25" customHeight="1" x14ac:dyDescent="0.3">
      <c r="A22" s="86" t="s">
        <v>299</v>
      </c>
      <c r="B22" s="24" t="s">
        <v>298</v>
      </c>
      <c r="C22" s="24" t="s">
        <v>47</v>
      </c>
      <c r="D22" s="21">
        <v>2</v>
      </c>
      <c r="E22" s="40">
        <f>F22/D22</f>
        <v>3410</v>
      </c>
      <c r="F22" s="40">
        <v>6820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6820</v>
      </c>
    </row>
    <row r="27" spans="1:13" ht="48.75" customHeight="1" x14ac:dyDescent="0.3">
      <c r="A27" s="230" t="s">
        <v>300</v>
      </c>
      <c r="B27" s="230"/>
      <c r="C27" s="230"/>
      <c r="D27" s="230"/>
      <c r="E27" s="230"/>
      <c r="F27" s="230"/>
      <c r="K27" s="34">
        <f>F19+F26</f>
        <v>73414.27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38"/>
      <c r="B31" s="138"/>
      <c r="C31" s="138"/>
      <c r="D31" s="138"/>
      <c r="E31" s="138"/>
      <c r="F31" s="138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38"/>
      <c r="B35" s="138"/>
      <c r="C35" s="138"/>
      <c r="D35" s="138"/>
      <c r="E35" s="138"/>
      <c r="F35" s="138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281</v>
      </c>
      <c r="B37" s="225"/>
      <c r="C37" s="225"/>
      <c r="D37" s="225"/>
      <c r="E37" s="225"/>
      <c r="F37" s="225"/>
    </row>
    <row r="38" spans="1:6" x14ac:dyDescent="0.3">
      <c r="A38" s="136"/>
    </row>
    <row r="40" spans="1:6" x14ac:dyDescent="0.3">
      <c r="A40" s="136"/>
    </row>
  </sheetData>
  <mergeCells count="24">
    <mergeCell ref="A8:F8"/>
    <mergeCell ref="A1:I1"/>
    <mergeCell ref="A2:I2"/>
    <mergeCell ref="A4:B4"/>
    <mergeCell ref="A6:I6"/>
    <mergeCell ref="C7:D7"/>
    <mergeCell ref="A20:F20"/>
    <mergeCell ref="C9:D9"/>
    <mergeCell ref="C10:D10"/>
    <mergeCell ref="C11:D11"/>
    <mergeCell ref="C12:D12"/>
    <mergeCell ref="C13:D13"/>
    <mergeCell ref="C14:D14"/>
    <mergeCell ref="A15:E15"/>
    <mergeCell ref="C16:D16"/>
    <mergeCell ref="C17:D17"/>
    <mergeCell ref="C18:D18"/>
    <mergeCell ref="A37:F37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38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39"/>
      <c r="E4" s="1" t="s">
        <v>290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 t="shared" ref="F9:F14" si="0"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si="0"/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63091.734000000004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0.19</v>
      </c>
      <c r="F16" s="12">
        <f>E16*4608.6</f>
        <v>875.63400000000013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0.13</v>
      </c>
      <c r="F17" s="10">
        <f>E17*4608.6</f>
        <v>599.11800000000005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0.41</v>
      </c>
      <c r="F18" s="12">
        <f>E18*4608.6</f>
        <v>1889.5260000000001</v>
      </c>
    </row>
    <row r="19" spans="1:13" x14ac:dyDescent="0.3">
      <c r="A19" s="117" t="s">
        <v>20</v>
      </c>
      <c r="B19" s="140"/>
      <c r="C19" s="140"/>
      <c r="D19" s="118"/>
      <c r="E19" s="119"/>
      <c r="F19" s="120">
        <f>F15+F16+F17+F18</f>
        <v>66456.012000000002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32.25" customHeight="1" x14ac:dyDescent="0.3">
      <c r="A22" s="86" t="s">
        <v>291</v>
      </c>
      <c r="B22" s="24" t="s">
        <v>292</v>
      </c>
      <c r="C22" s="24" t="s">
        <v>27</v>
      </c>
      <c r="D22" s="24">
        <v>30</v>
      </c>
      <c r="E22" s="40">
        <f>F22/D22</f>
        <v>348.33333333333331</v>
      </c>
      <c r="F22" s="40">
        <v>10450</v>
      </c>
    </row>
    <row r="23" spans="1:13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10450</v>
      </c>
    </row>
    <row r="27" spans="1:13" ht="48.75" customHeight="1" x14ac:dyDescent="0.3">
      <c r="A27" s="230" t="s">
        <v>293</v>
      </c>
      <c r="B27" s="230"/>
      <c r="C27" s="230"/>
      <c r="D27" s="230"/>
      <c r="E27" s="230"/>
      <c r="F27" s="230"/>
      <c r="K27" s="34">
        <f>F19+F26</f>
        <v>76906.012000000002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41"/>
      <c r="B31" s="141"/>
      <c r="C31" s="141"/>
      <c r="D31" s="141"/>
      <c r="E31" s="141"/>
      <c r="F31" s="141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41"/>
      <c r="B35" s="141"/>
      <c r="C35" s="141"/>
      <c r="D35" s="141"/>
      <c r="E35" s="141"/>
      <c r="F35" s="141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281</v>
      </c>
      <c r="B37" s="225"/>
      <c r="C37" s="225"/>
      <c r="D37" s="225"/>
      <c r="E37" s="225"/>
      <c r="F37" s="225"/>
    </row>
    <row r="38" spans="1:6" x14ac:dyDescent="0.3">
      <c r="A38" s="139"/>
    </row>
    <row r="40" spans="1:6" x14ac:dyDescent="0.3">
      <c r="A40" s="139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activeCell="A22" sqref="A22:F2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44"/>
      <c r="E4" s="1" t="s">
        <v>294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 t="shared" ref="F9:F14" si="0"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si="0"/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63091.734000000004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0.04</v>
      </c>
      <c r="F16" s="12">
        <f>E16*4608.6</f>
        <v>184.34400000000002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0.03</v>
      </c>
      <c r="F17" s="10">
        <f>E17*4608.6</f>
        <v>138.25800000000001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0.41</v>
      </c>
      <c r="F18" s="12">
        <f>E18*4608.6</f>
        <v>1889.5260000000001</v>
      </c>
    </row>
    <row r="19" spans="1:13" x14ac:dyDescent="0.3">
      <c r="A19" s="117" t="s">
        <v>20</v>
      </c>
      <c r="B19" s="142"/>
      <c r="C19" s="142"/>
      <c r="D19" s="118"/>
      <c r="E19" s="119"/>
      <c r="F19" s="120">
        <f>F15+F16+F17+F18</f>
        <v>65303.862000000001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44.25" customHeight="1" x14ac:dyDescent="0.3">
      <c r="A22" s="86" t="s">
        <v>296</v>
      </c>
      <c r="B22" s="24" t="s">
        <v>295</v>
      </c>
      <c r="C22" s="24" t="s">
        <v>47</v>
      </c>
      <c r="D22" s="24">
        <v>1</v>
      </c>
      <c r="E22" s="40">
        <f>F22/D22</f>
        <v>5005</v>
      </c>
      <c r="F22" s="40">
        <v>5005</v>
      </c>
    </row>
    <row r="23" spans="1:13" ht="43.2" x14ac:dyDescent="0.3">
      <c r="A23" s="86" t="s">
        <v>297</v>
      </c>
      <c r="B23" s="24" t="s">
        <v>295</v>
      </c>
      <c r="C23" s="24" t="s">
        <v>47</v>
      </c>
      <c r="D23" s="21">
        <v>1</v>
      </c>
      <c r="E23" s="40">
        <f>F23/D23</f>
        <v>550</v>
      </c>
      <c r="F23" s="40">
        <v>550</v>
      </c>
    </row>
    <row r="24" spans="1:13" ht="15.75" customHeight="1" x14ac:dyDescent="0.3">
      <c r="A24" s="86"/>
      <c r="B24" s="24"/>
      <c r="C24" s="24"/>
      <c r="D24" s="21"/>
      <c r="E24" s="40"/>
      <c r="F24" s="40"/>
    </row>
    <row r="25" spans="1:13" x14ac:dyDescent="0.3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5555</v>
      </c>
    </row>
    <row r="27" spans="1:13" ht="48.75" customHeight="1" x14ac:dyDescent="0.3">
      <c r="A27" s="230" t="s">
        <v>301</v>
      </c>
      <c r="B27" s="230"/>
      <c r="C27" s="230"/>
      <c r="D27" s="230"/>
      <c r="E27" s="230"/>
      <c r="F27" s="230"/>
      <c r="K27" s="34">
        <f>F19+F26</f>
        <v>70858.861999999994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43"/>
      <c r="B31" s="143"/>
      <c r="C31" s="143"/>
      <c r="D31" s="143"/>
      <c r="E31" s="143"/>
      <c r="F31" s="143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43"/>
      <c r="B35" s="143"/>
      <c r="C35" s="143"/>
      <c r="D35" s="143"/>
      <c r="E35" s="143"/>
      <c r="F35" s="143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281</v>
      </c>
      <c r="B37" s="225"/>
      <c r="C37" s="225"/>
      <c r="D37" s="225"/>
      <c r="E37" s="225"/>
      <c r="F37" s="225"/>
    </row>
    <row r="38" spans="1:6" x14ac:dyDescent="0.3">
      <c r="A38" s="144"/>
    </row>
    <row r="40" spans="1:6" x14ac:dyDescent="0.3">
      <c r="A40" s="144"/>
    </row>
  </sheetData>
  <mergeCells count="24"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0" workbookViewId="0">
      <selection activeCell="L13" sqref="L1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45"/>
      <c r="E4" s="1" t="s">
        <v>302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63091.734000000004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0.96</v>
      </c>
      <c r="F16" s="12">
        <f>E16*4608.6</f>
        <v>4424.2560000000003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0.64</v>
      </c>
      <c r="F17" s="10">
        <f>E17*4608.6+0.08</f>
        <v>2949.5840000000003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</v>
      </c>
      <c r="F18" s="12">
        <f>E18*4608.6+44.81</f>
        <v>2809.9700000000003</v>
      </c>
    </row>
    <row r="19" spans="1:13" x14ac:dyDescent="0.3">
      <c r="A19" s="117" t="s">
        <v>20</v>
      </c>
      <c r="B19" s="146"/>
      <c r="C19" s="146"/>
      <c r="D19" s="118"/>
      <c r="E19" s="119"/>
      <c r="F19" s="120">
        <f>F15+F16+F17+F18</f>
        <v>73275.544000000009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45.75" customHeight="1" x14ac:dyDescent="0.3">
      <c r="A22" s="86" t="s">
        <v>303</v>
      </c>
      <c r="B22" s="24" t="s">
        <v>304</v>
      </c>
      <c r="C22" s="24" t="s">
        <v>47</v>
      </c>
      <c r="D22" s="24">
        <v>1</v>
      </c>
      <c r="E22" s="40">
        <f>F22/D22</f>
        <v>1650</v>
      </c>
      <c r="F22" s="40">
        <v>1650</v>
      </c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F22</f>
        <v>1650</v>
      </c>
    </row>
    <row r="24" spans="1:13" ht="48.75" customHeight="1" x14ac:dyDescent="0.3">
      <c r="A24" s="230" t="s">
        <v>306</v>
      </c>
      <c r="B24" s="230"/>
      <c r="C24" s="230"/>
      <c r="D24" s="230"/>
      <c r="E24" s="230"/>
      <c r="F24" s="230"/>
      <c r="K24" s="34">
        <f>F19+F23</f>
        <v>74925.544000000009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147"/>
      <c r="B28" s="147"/>
      <c r="C28" s="147"/>
      <c r="D28" s="147"/>
      <c r="E28" s="147"/>
      <c r="F28" s="147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4"/>
      <c r="B30" s="4"/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147"/>
      <c r="B32" s="147"/>
      <c r="C32" s="147"/>
      <c r="D32" s="147"/>
      <c r="E32" s="147"/>
      <c r="F32" s="147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281</v>
      </c>
      <c r="B34" s="225"/>
      <c r="C34" s="225"/>
      <c r="D34" s="225"/>
      <c r="E34" s="225"/>
      <c r="F34" s="225"/>
    </row>
    <row r="35" spans="1:6" x14ac:dyDescent="0.3">
      <c r="A35" s="145"/>
    </row>
    <row r="37" spans="1:6" x14ac:dyDescent="0.3">
      <c r="A37" s="145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4:F34"/>
    <mergeCell ref="A15:E15"/>
    <mergeCell ref="C16:D16"/>
    <mergeCell ref="C17:D17"/>
    <mergeCell ref="C18:D18"/>
    <mergeCell ref="A20:F20"/>
    <mergeCell ref="A24:F24"/>
    <mergeCell ref="A25:F25"/>
    <mergeCell ref="A26:F26"/>
    <mergeCell ref="A27:F27"/>
    <mergeCell ref="A31:F31"/>
    <mergeCell ref="A33:F3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0" workbookViewId="0">
      <selection activeCell="L21" sqref="L2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35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50"/>
      <c r="E4" s="1" t="s">
        <v>305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 t="shared" ref="F9:F14" si="0"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si="0"/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242" t="s">
        <v>264</v>
      </c>
      <c r="B15" s="243"/>
      <c r="C15" s="243"/>
      <c r="D15" s="243"/>
      <c r="E15" s="244"/>
      <c r="F15" s="116">
        <f>F9+F10+F11+F12+F13+F14</f>
        <v>63091.734000000004</v>
      </c>
    </row>
    <row r="16" spans="1:9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1.34</v>
      </c>
      <c r="F16" s="12">
        <f>E16*4608.6</f>
        <v>6175.5240000000013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0.89</v>
      </c>
      <c r="F17" s="10">
        <f>E17*4608.6</f>
        <v>4101.6540000000005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0.68</v>
      </c>
      <c r="F18" s="12">
        <f>E18*4608.6</f>
        <v>3133.8480000000004</v>
      </c>
    </row>
    <row r="19" spans="1:13" x14ac:dyDescent="0.3">
      <c r="A19" s="117" t="s">
        <v>20</v>
      </c>
      <c r="B19" s="148"/>
      <c r="C19" s="148"/>
      <c r="D19" s="118"/>
      <c r="E19" s="119"/>
      <c r="F19" s="120">
        <f>F15+F16+F17+F18</f>
        <v>76502.759999999995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15.75" customHeight="1" x14ac:dyDescent="0.25">
      <c r="A22" s="86"/>
      <c r="B22" s="24"/>
      <c r="C22" s="24"/>
      <c r="D22" s="24"/>
      <c r="E22" s="40"/>
      <c r="F22" s="40"/>
    </row>
    <row r="23" spans="1:13" ht="15" x14ac:dyDescent="0.25">
      <c r="A23" s="86"/>
      <c r="B23" s="24"/>
      <c r="C23" s="24"/>
      <c r="D23" s="21"/>
      <c r="E23" s="40"/>
      <c r="F23" s="40"/>
    </row>
    <row r="24" spans="1:13" ht="15.75" customHeight="1" x14ac:dyDescent="0.25">
      <c r="A24" s="86"/>
      <c r="B24" s="24"/>
      <c r="C24" s="24"/>
      <c r="D24" s="21"/>
      <c r="E24" s="40"/>
      <c r="F24" s="40"/>
    </row>
    <row r="25" spans="1:13" ht="15" x14ac:dyDescent="0.25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0</v>
      </c>
    </row>
    <row r="27" spans="1:13" ht="48.75" customHeight="1" x14ac:dyDescent="0.3">
      <c r="A27" s="230" t="s">
        <v>307</v>
      </c>
      <c r="B27" s="230"/>
      <c r="C27" s="230"/>
      <c r="D27" s="230"/>
      <c r="E27" s="230"/>
      <c r="F27" s="230"/>
      <c r="K27" s="34">
        <f>F19+F26</f>
        <v>76502.759999999995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x14ac:dyDescent="0.3">
      <c r="A31" s="149"/>
      <c r="B31" s="149"/>
      <c r="C31" s="149"/>
      <c r="D31" s="149"/>
      <c r="E31" s="149"/>
      <c r="F31" s="149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x14ac:dyDescent="0.3">
      <c r="A35" s="149"/>
      <c r="B35" s="149"/>
      <c r="C35" s="149"/>
      <c r="D35" s="149"/>
      <c r="E35" s="149"/>
      <c r="F35" s="149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281</v>
      </c>
      <c r="B37" s="225"/>
      <c r="C37" s="225"/>
      <c r="D37" s="225"/>
      <c r="E37" s="225"/>
      <c r="F37" s="225"/>
    </row>
    <row r="38" spans="1:6" x14ac:dyDescent="0.3">
      <c r="A38" s="150"/>
    </row>
    <row r="40" spans="1:6" x14ac:dyDescent="0.3">
      <c r="A40" s="150"/>
    </row>
  </sheetData>
  <mergeCells count="24"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8" workbookViewId="0">
      <selection activeCell="O9" sqref="O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42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5"/>
      <c r="E4" s="1" t="s">
        <v>79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61.5" customHeight="1" x14ac:dyDescent="0.3">
      <c r="A17" s="8" t="s">
        <v>88</v>
      </c>
      <c r="B17" s="5" t="s">
        <v>89</v>
      </c>
      <c r="C17" s="217" t="s">
        <v>94</v>
      </c>
      <c r="D17" s="218"/>
      <c r="E17" s="10">
        <v>2000</v>
      </c>
      <c r="F17" s="10">
        <v>4000</v>
      </c>
    </row>
    <row r="18" spans="1:6" ht="16.5" customHeight="1" x14ac:dyDescent="0.3">
      <c r="A18" s="8" t="s">
        <v>29</v>
      </c>
      <c r="B18" s="5" t="s">
        <v>26</v>
      </c>
      <c r="C18" s="217" t="s">
        <v>30</v>
      </c>
      <c r="D18" s="218"/>
      <c r="E18" s="13">
        <v>545.89</v>
      </c>
      <c r="F18" s="12">
        <v>17265.63</v>
      </c>
    </row>
    <row r="19" spans="1:6" ht="15" customHeight="1" x14ac:dyDescent="0.3">
      <c r="A19" s="14" t="s">
        <v>20</v>
      </c>
      <c r="B19" s="15"/>
      <c r="C19" s="15"/>
      <c r="D19" s="16"/>
      <c r="F19" s="39">
        <f>SUM(F9:F18)</f>
        <v>73155.117000000013</v>
      </c>
    </row>
    <row r="20" spans="1:6" x14ac:dyDescent="0.3">
      <c r="A20" s="229" t="s">
        <v>17</v>
      </c>
      <c r="B20" s="229"/>
      <c r="C20" s="229"/>
      <c r="D20" s="229"/>
      <c r="E20" s="229"/>
      <c r="F20" s="229"/>
    </row>
    <row r="21" spans="1:6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6" ht="43.2" x14ac:dyDescent="0.3">
      <c r="A22" s="22" t="s">
        <v>81</v>
      </c>
      <c r="B22" s="5" t="s">
        <v>82</v>
      </c>
      <c r="C22" s="5" t="s">
        <v>47</v>
      </c>
      <c r="D22" s="23">
        <v>6</v>
      </c>
      <c r="E22" s="30">
        <f>F22/D22</f>
        <v>713.66666666666663</v>
      </c>
      <c r="F22" s="5">
        <v>4282</v>
      </c>
    </row>
    <row r="23" spans="1:6" x14ac:dyDescent="0.3">
      <c r="A23" s="22" t="s">
        <v>21</v>
      </c>
      <c r="B23" s="5"/>
      <c r="C23" s="5"/>
      <c r="D23" s="5"/>
      <c r="E23" s="6"/>
      <c r="F23" s="30">
        <f>SUM(F22:F22)</f>
        <v>4282</v>
      </c>
    </row>
    <row r="24" spans="1:6" ht="33" customHeight="1" x14ac:dyDescent="0.3">
      <c r="A24" s="22"/>
      <c r="B24" s="5"/>
      <c r="C24" s="5"/>
      <c r="D24" s="5"/>
      <c r="E24" s="6"/>
      <c r="F24" s="5"/>
    </row>
    <row r="25" spans="1:6" ht="43.5" customHeight="1" x14ac:dyDescent="0.3">
      <c r="A25" s="230" t="s">
        <v>95</v>
      </c>
      <c r="B25" s="230"/>
      <c r="C25" s="230"/>
      <c r="D25" s="230"/>
      <c r="E25" s="230"/>
      <c r="F25" s="230"/>
    </row>
    <row r="26" spans="1:6" ht="28.5" customHeight="1" x14ac:dyDescent="0.3">
      <c r="A26" s="231" t="s">
        <v>7</v>
      </c>
      <c r="B26" s="231"/>
      <c r="C26" s="231"/>
      <c r="D26" s="231"/>
      <c r="E26" s="231"/>
      <c r="F26" s="231"/>
    </row>
    <row r="27" spans="1:6" ht="18.75" customHeight="1" x14ac:dyDescent="0.3">
      <c r="A27" s="232" t="s">
        <v>8</v>
      </c>
      <c r="B27" s="232"/>
      <c r="C27" s="232"/>
      <c r="D27" s="232"/>
      <c r="E27" s="232"/>
      <c r="F27" s="232"/>
    </row>
    <row r="28" spans="1:6" ht="29.25" customHeight="1" x14ac:dyDescent="0.3">
      <c r="A28" s="231" t="s">
        <v>9</v>
      </c>
      <c r="B28" s="231"/>
      <c r="C28" s="231"/>
      <c r="D28" s="231"/>
      <c r="E28" s="231"/>
      <c r="F28" s="231"/>
    </row>
    <row r="29" spans="1:6" ht="15.75" customHeight="1" x14ac:dyDescent="0.3">
      <c r="A29" s="36"/>
      <c r="B29" s="36"/>
      <c r="C29" s="36"/>
      <c r="D29" s="36"/>
      <c r="E29" s="36"/>
      <c r="F29" s="36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36"/>
      <c r="B33" s="36"/>
      <c r="C33" s="36"/>
      <c r="D33" s="36"/>
      <c r="E33" s="36"/>
      <c r="F33" s="36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35"/>
    </row>
    <row r="38" spans="1:6" x14ac:dyDescent="0.3">
      <c r="A38" s="35"/>
    </row>
  </sheetData>
  <mergeCells count="24">
    <mergeCell ref="A35:F35"/>
    <mergeCell ref="A34:F3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C17:D17"/>
    <mergeCell ref="C16:D16"/>
    <mergeCell ref="C18:D18"/>
    <mergeCell ref="A20:F20"/>
    <mergeCell ref="A25:F25"/>
    <mergeCell ref="A32:F32"/>
    <mergeCell ref="A26:F26"/>
    <mergeCell ref="A27:F27"/>
    <mergeCell ref="A28:F28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6"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12" x14ac:dyDescent="0.3">
      <c r="A1" s="219" t="s">
        <v>34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12" x14ac:dyDescent="0.3">
      <c r="A4" s="221" t="s">
        <v>19</v>
      </c>
      <c r="B4" s="221"/>
      <c r="C4" s="151"/>
      <c r="E4" s="1" t="s">
        <v>308</v>
      </c>
      <c r="F4" s="1"/>
    </row>
    <row r="6" spans="1:12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12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12" ht="15" customHeight="1" x14ac:dyDescent="0.3">
      <c r="A8" s="226" t="s">
        <v>289</v>
      </c>
      <c r="B8" s="227"/>
      <c r="C8" s="227"/>
      <c r="D8" s="227"/>
      <c r="E8" s="227"/>
      <c r="F8" s="228"/>
    </row>
    <row r="9" spans="1:12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E9*4608.6+22.33</f>
        <v>18134.128000000004</v>
      </c>
    </row>
    <row r="10" spans="1:12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12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12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12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12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12" x14ac:dyDescent="0.3">
      <c r="A15" s="242" t="s">
        <v>264</v>
      </c>
      <c r="B15" s="243"/>
      <c r="C15" s="243"/>
      <c r="D15" s="243"/>
      <c r="E15" s="244"/>
      <c r="F15" s="116">
        <f>F9+F10+F11+F12+F13+F14</f>
        <v>63114.064000000006</v>
      </c>
    </row>
    <row r="16" spans="1:12" ht="14.25" customHeight="1" x14ac:dyDescent="0.3">
      <c r="A16" s="8" t="s">
        <v>147</v>
      </c>
      <c r="B16" s="11" t="s">
        <v>16</v>
      </c>
      <c r="C16" s="217" t="s">
        <v>44</v>
      </c>
      <c r="D16" s="218"/>
      <c r="E16" s="12">
        <v>0.15</v>
      </c>
      <c r="F16" s="12">
        <v>724.34</v>
      </c>
      <c r="L16">
        <f>F16/4608.6</f>
        <v>0.15717137525495811</v>
      </c>
    </row>
    <row r="17" spans="1:13" ht="15" customHeight="1" x14ac:dyDescent="0.3">
      <c r="A17" s="8" t="s">
        <v>190</v>
      </c>
      <c r="B17" s="11" t="s">
        <v>16</v>
      </c>
      <c r="C17" s="217" t="s">
        <v>44</v>
      </c>
      <c r="D17" s="218"/>
      <c r="E17" s="10">
        <v>0.09</v>
      </c>
      <c r="F17" s="10">
        <v>451.67</v>
      </c>
      <c r="L17">
        <f>F17/4608.6</f>
        <v>9.800590200928698E-2</v>
      </c>
    </row>
    <row r="18" spans="1:13" ht="15.75" customHeight="1" x14ac:dyDescent="0.3">
      <c r="A18" s="8" t="s">
        <v>148</v>
      </c>
      <c r="B18" s="11" t="s">
        <v>16</v>
      </c>
      <c r="C18" s="217" t="s">
        <v>44</v>
      </c>
      <c r="D18" s="218"/>
      <c r="E18" s="12">
        <v>0.52</v>
      </c>
      <c r="F18" s="12">
        <v>2377.86</v>
      </c>
      <c r="L18">
        <f>F18/4608.6</f>
        <v>0.51596146335112614</v>
      </c>
    </row>
    <row r="19" spans="1:13" x14ac:dyDescent="0.3">
      <c r="A19" s="117" t="s">
        <v>20</v>
      </c>
      <c r="B19" s="152"/>
      <c r="C19" s="152"/>
      <c r="D19" s="118"/>
      <c r="E19" s="119"/>
      <c r="F19" s="120">
        <f>F15+F16+F17+F18</f>
        <v>66667.933999999994</v>
      </c>
    </row>
    <row r="20" spans="1:13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3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3" ht="15.75" customHeight="1" x14ac:dyDescent="0.25">
      <c r="A22" s="86"/>
      <c r="B22" s="24"/>
      <c r="C22" s="24"/>
      <c r="D22" s="24"/>
      <c r="E22" s="40"/>
      <c r="F22" s="40"/>
    </row>
    <row r="23" spans="1:13" ht="15" x14ac:dyDescent="0.25">
      <c r="A23" s="86"/>
      <c r="B23" s="24"/>
      <c r="C23" s="24"/>
      <c r="D23" s="21"/>
      <c r="E23" s="40"/>
      <c r="F23" s="40"/>
    </row>
    <row r="24" spans="1:13" ht="15.75" customHeight="1" x14ac:dyDescent="0.25">
      <c r="A24" s="86"/>
      <c r="B24" s="24"/>
      <c r="C24" s="24"/>
      <c r="D24" s="21"/>
      <c r="E24" s="40"/>
      <c r="F24" s="40"/>
    </row>
    <row r="25" spans="1:13" ht="15" x14ac:dyDescent="0.25">
      <c r="A25" s="86"/>
      <c r="B25" s="24"/>
      <c r="C25" s="24"/>
      <c r="D25" s="21"/>
      <c r="E25" s="40"/>
      <c r="F25" s="40"/>
    </row>
    <row r="26" spans="1:13" ht="18" customHeight="1" x14ac:dyDescent="0.3">
      <c r="A26" s="121" t="s">
        <v>21</v>
      </c>
      <c r="B26" s="122"/>
      <c r="C26" s="122"/>
      <c r="D26" s="122"/>
      <c r="E26" s="123"/>
      <c r="F26" s="123">
        <f>F22+F23+F24+F25</f>
        <v>0</v>
      </c>
    </row>
    <row r="27" spans="1:13" ht="66" customHeight="1" x14ac:dyDescent="0.3">
      <c r="A27" s="230" t="s">
        <v>317</v>
      </c>
      <c r="B27" s="230"/>
      <c r="C27" s="230"/>
      <c r="D27" s="230"/>
      <c r="E27" s="230"/>
      <c r="F27" s="230"/>
      <c r="K27" s="34">
        <f>F19+F26</f>
        <v>66667.933999999994</v>
      </c>
      <c r="L27" s="34"/>
      <c r="M27" s="34"/>
    </row>
    <row r="28" spans="1:13" ht="33.75" customHeight="1" x14ac:dyDescent="0.3">
      <c r="A28" s="231" t="s">
        <v>7</v>
      </c>
      <c r="B28" s="231"/>
      <c r="C28" s="231"/>
      <c r="D28" s="231"/>
      <c r="E28" s="231"/>
      <c r="F28" s="231"/>
    </row>
    <row r="29" spans="1:13" x14ac:dyDescent="0.3">
      <c r="A29" s="232" t="s">
        <v>8</v>
      </c>
      <c r="B29" s="232"/>
      <c r="C29" s="232"/>
      <c r="D29" s="232"/>
      <c r="E29" s="232"/>
      <c r="F29" s="232"/>
    </row>
    <row r="30" spans="1:13" ht="32.25" customHeight="1" x14ac:dyDescent="0.3">
      <c r="A30" s="231" t="s">
        <v>9</v>
      </c>
      <c r="B30" s="231"/>
      <c r="C30" s="231"/>
      <c r="D30" s="231"/>
      <c r="E30" s="231"/>
      <c r="F30" s="231"/>
    </row>
    <row r="31" spans="1:13" ht="15" x14ac:dyDescent="0.25">
      <c r="A31" s="153"/>
      <c r="B31" s="153"/>
      <c r="C31" s="153"/>
      <c r="D31" s="153"/>
      <c r="E31" s="153"/>
      <c r="F31" s="153"/>
    </row>
    <row r="32" spans="1:13" x14ac:dyDescent="0.3">
      <c r="A32" s="4"/>
      <c r="B32" s="4" t="s">
        <v>10</v>
      </c>
      <c r="C32" s="4"/>
      <c r="D32" s="4"/>
      <c r="E32" s="4"/>
      <c r="F32" s="4"/>
    </row>
    <row r="33" spans="1:6" ht="15" x14ac:dyDescent="0.25">
      <c r="A33" s="4"/>
      <c r="B33" s="4"/>
      <c r="C33" s="4"/>
      <c r="D33" s="4"/>
      <c r="E33" s="4"/>
      <c r="F33" s="4"/>
    </row>
    <row r="34" spans="1:6" x14ac:dyDescent="0.3">
      <c r="A34" s="225" t="s">
        <v>11</v>
      </c>
      <c r="B34" s="225"/>
      <c r="C34" s="225"/>
      <c r="D34" s="225"/>
      <c r="E34" s="225"/>
      <c r="F34" s="225"/>
    </row>
    <row r="35" spans="1:6" ht="15" x14ac:dyDescent="0.25">
      <c r="A35" s="153"/>
      <c r="B35" s="153"/>
      <c r="C35" s="153"/>
      <c r="D35" s="153"/>
      <c r="E35" s="153"/>
      <c r="F35" s="153"/>
    </row>
    <row r="36" spans="1:6" x14ac:dyDescent="0.3">
      <c r="A36" s="225" t="s">
        <v>54</v>
      </c>
      <c r="B36" s="225"/>
      <c r="C36" s="225"/>
      <c r="D36" s="225"/>
      <c r="E36" s="225"/>
      <c r="F36" s="225"/>
    </row>
    <row r="37" spans="1:6" x14ac:dyDescent="0.3">
      <c r="A37" s="225" t="s">
        <v>281</v>
      </c>
      <c r="B37" s="225"/>
      <c r="C37" s="225"/>
      <c r="D37" s="225"/>
      <c r="E37" s="225"/>
      <c r="F37" s="225"/>
    </row>
    <row r="38" spans="1:6" ht="15" x14ac:dyDescent="0.25">
      <c r="A38" s="151"/>
    </row>
    <row r="40" spans="1:6" x14ac:dyDescent="0.3">
      <c r="A40" s="151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7:F37"/>
    <mergeCell ref="A15:E15"/>
    <mergeCell ref="C16:D16"/>
    <mergeCell ref="C17:D17"/>
    <mergeCell ref="C18:D18"/>
    <mergeCell ref="A20:F20"/>
    <mergeCell ref="A27:F27"/>
    <mergeCell ref="A28:F28"/>
    <mergeCell ref="A29:F29"/>
    <mergeCell ref="A30:F30"/>
    <mergeCell ref="A34:F34"/>
    <mergeCell ref="A36:F36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A2" sqref="A2:I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2" x14ac:dyDescent="0.3">
      <c r="A1" s="219" t="s">
        <v>309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207</v>
      </c>
      <c r="B2" s="220"/>
      <c r="C2" s="220"/>
      <c r="D2" s="220"/>
      <c r="E2" s="220"/>
      <c r="F2" s="220"/>
      <c r="G2" s="220"/>
      <c r="H2" s="220"/>
      <c r="I2" s="220"/>
    </row>
    <row r="4" spans="1:12" ht="110.25" customHeight="1" x14ac:dyDescent="0.3">
      <c r="A4" s="7" t="s">
        <v>3</v>
      </c>
      <c r="B4" s="7" t="s">
        <v>24</v>
      </c>
      <c r="C4" s="223" t="s">
        <v>4</v>
      </c>
      <c r="D4" s="224"/>
      <c r="E4" s="7" t="s">
        <v>5</v>
      </c>
      <c r="F4" s="7" t="s">
        <v>6</v>
      </c>
    </row>
    <row r="5" spans="1:12" ht="27" customHeight="1" x14ac:dyDescent="0.3">
      <c r="A5" s="226" t="s">
        <v>314</v>
      </c>
      <c r="B5" s="227"/>
      <c r="C5" s="227"/>
      <c r="D5" s="227"/>
      <c r="E5" s="227"/>
      <c r="F5" s="228"/>
    </row>
    <row r="6" spans="1:12" ht="136.5" customHeight="1" x14ac:dyDescent="0.3">
      <c r="A6" s="8" t="s">
        <v>67</v>
      </c>
      <c r="B6" s="9" t="s">
        <v>12</v>
      </c>
      <c r="C6" s="217" t="s">
        <v>13</v>
      </c>
      <c r="D6" s="218"/>
      <c r="E6" s="113" t="s">
        <v>311</v>
      </c>
      <c r="F6" s="10">
        <f>'февр 2019'!F9+'февр 2019'!F9+'март 2019'!F9+'апр 2019'!F9+'май 2019'!F9+'июнь 2019'!F9+'июль 2019'!F9+'авг 2019'!F9+'сент 2019'!F9+'окт 2019'!F9+'нояб 2019'!F9+'дек 2019'!F9</f>
        <v>211620.23400000005</v>
      </c>
      <c r="L6" s="34"/>
    </row>
    <row r="7" spans="1:12" ht="96.75" customHeight="1" x14ac:dyDescent="0.3">
      <c r="A7" s="69" t="s">
        <v>68</v>
      </c>
      <c r="B7" s="9" t="s">
        <v>12</v>
      </c>
      <c r="C7" s="217" t="s">
        <v>13</v>
      </c>
      <c r="D7" s="218"/>
      <c r="E7" s="113" t="s">
        <v>312</v>
      </c>
      <c r="F7" s="33">
        <f>'янв 2019'!F10+'февр 2019'!F10+'март 2019'!F10+'апр 2019'!F10+'май 2019'!F10+'июнь 2019'!F10+'июль 2019'!F10+'авг 2019'!F10+'сент 2019'!F10+'окт 2019'!F10+'нояб 2019'!F10+'дек 2019'!F10</f>
        <v>122322.12599999997</v>
      </c>
    </row>
    <row r="8" spans="1:12" ht="86.4" x14ac:dyDescent="0.3">
      <c r="A8" s="69" t="s">
        <v>48</v>
      </c>
      <c r="B8" s="9" t="s">
        <v>14</v>
      </c>
      <c r="C8" s="217" t="s">
        <v>13</v>
      </c>
      <c r="D8" s="218"/>
      <c r="E8" s="113" t="s">
        <v>313</v>
      </c>
      <c r="F8" s="25">
        <f>'янв 2019'!F11+'февр 2019'!F11+'март 2019'!F11+'апр 2019'!F11+'май 2019'!F11+'июнь 2019'!F11+'июль 2019'!F11+'авг 2019'!F11+'сент 2019'!F11+'окт 2019'!F11+'нояб 2019'!F11+'дек 2019'!F11</f>
        <v>169563.72600000005</v>
      </c>
    </row>
    <row r="9" spans="1:12" ht="86.4" x14ac:dyDescent="0.3">
      <c r="A9" s="69" t="s">
        <v>49</v>
      </c>
      <c r="B9" s="24" t="s">
        <v>25</v>
      </c>
      <c r="C9" s="217" t="s">
        <v>13</v>
      </c>
      <c r="D9" s="218"/>
      <c r="E9" s="113" t="s">
        <v>315</v>
      </c>
      <c r="F9" s="40">
        <f>'янв 2019'!F12+'февр 2019'!F12+'март 2019'!F12+'апр 2019'!F12+'май 2019'!F12+'июнь 2019'!F12+'июль 2019'!F12+'авг 2019'!F12+'сент 2019'!F12+'окт 2019'!F12+'нояб 2019'!F12+'дек 2019'!F12</f>
        <v>156750.79399999997</v>
      </c>
    </row>
    <row r="10" spans="1:12" ht="86.4" x14ac:dyDescent="0.3">
      <c r="A10" s="69" t="s">
        <v>50</v>
      </c>
      <c r="B10" s="24" t="s">
        <v>25</v>
      </c>
      <c r="C10" s="217" t="s">
        <v>44</v>
      </c>
      <c r="D10" s="218"/>
      <c r="E10" s="113" t="s">
        <v>316</v>
      </c>
      <c r="F10" s="40">
        <f>'янв 2019'!F13+'февр 2019'!F13+'март 2019'!F13+'апр 2019'!F13+'май 2019'!F13+'июнь 2019'!F13+'июль 2019'!F13+'авг 2019'!F13+'сент 2019'!F13+'окт 2019'!F13+'нояб 2019'!F13+'дек 2019'!F13</f>
        <v>60930.468000000008</v>
      </c>
    </row>
    <row r="11" spans="1:12" ht="28.8" x14ac:dyDescent="0.3">
      <c r="A11" s="8" t="s">
        <v>15</v>
      </c>
      <c r="B11" s="11" t="s">
        <v>16</v>
      </c>
      <c r="C11" s="217" t="s">
        <v>13</v>
      </c>
      <c r="D11" s="218"/>
      <c r="E11" s="10">
        <v>0.13</v>
      </c>
      <c r="F11" s="10">
        <f>'янв 2019'!F14+'февр 2019'!F14+'март 2019'!F14+'апр 2019'!F14+'май 2019'!F14+'июнь 2019'!F14+'июль 2019'!F14+'авг 2019'!F14+'сент 2019'!F14+'окт 2019'!F14+'нояб 2019'!F14+'дек 2019'!F14</f>
        <v>7190.0140000000019</v>
      </c>
    </row>
    <row r="12" spans="1:12" ht="57.6" x14ac:dyDescent="0.3">
      <c r="A12" s="69" t="s">
        <v>283</v>
      </c>
      <c r="B12" s="24" t="s">
        <v>89</v>
      </c>
      <c r="C12" s="217" t="s">
        <v>310</v>
      </c>
      <c r="D12" s="218"/>
      <c r="E12" s="10">
        <v>7.0000000000000007E-2</v>
      </c>
      <c r="F12" s="10">
        <v>3900</v>
      </c>
      <c r="L12" s="34"/>
    </row>
    <row r="13" spans="1:12" x14ac:dyDescent="0.3">
      <c r="A13" s="158" t="s">
        <v>264</v>
      </c>
      <c r="B13" s="24"/>
      <c r="C13" s="155"/>
      <c r="D13" s="156"/>
      <c r="E13" s="10"/>
      <c r="F13" s="116">
        <f>F6+F7+F8+F9+F10+F11+F12</f>
        <v>732277.36200000008</v>
      </c>
      <c r="L13" s="34">
        <f>'янв 2019'!F15+'февр 2019'!F15+'март 2019'!F15+'апр 2019'!F15+'май 2019'!F15+'июнь 2019'!F16+'июль 2019'!F15+'авг 2019'!F15+'сент 2019'!F15+'окт 2019'!F15+'нояб 2019'!F15+'дек 2019'!F15</f>
        <v>732277.3620000002</v>
      </c>
    </row>
    <row r="14" spans="1:12" ht="14.25" customHeight="1" x14ac:dyDescent="0.3">
      <c r="A14" s="8" t="s">
        <v>147</v>
      </c>
      <c r="B14" s="11" t="s">
        <v>16</v>
      </c>
      <c r="C14" s="217" t="s">
        <v>44</v>
      </c>
      <c r="D14" s="218"/>
      <c r="E14" s="12">
        <v>0.35</v>
      </c>
      <c r="F14" s="12">
        <f>'янв 2019'!F16+'февр 2019'!F16+'март 2019'!F16+'апр 2019'!F16+'май 2019'!F16+'июнь 2019'!F17+'июль 2019'!F16+'авг 2019'!F16+'сент 2019'!F16+'окт 2019'!F16+'нояб 2019'!F16+'дек 2019'!F16-0.02</f>
        <v>19251.898000000001</v>
      </c>
      <c r="L14">
        <f>F14/4608.6/12</f>
        <v>0.34811544359096763</v>
      </c>
    </row>
    <row r="15" spans="1:12" ht="15" customHeight="1" x14ac:dyDescent="0.3">
      <c r="A15" s="8" t="s">
        <v>190</v>
      </c>
      <c r="B15" s="11" t="s">
        <v>16</v>
      </c>
      <c r="C15" s="217" t="s">
        <v>44</v>
      </c>
      <c r="D15" s="218"/>
      <c r="E15" s="10">
        <v>0.23</v>
      </c>
      <c r="F15" s="10">
        <f>'янв 2019'!F17+'февр 2019'!F17+'март 2019'!F17+'апр 2019'!F17+'май 2019'!F17+'июнь 2019'!F18+'июль 2019'!F17+'авг 2019'!F17+'сент 2019'!F17+'окт 2019'!F17+'нояб 2019'!F17+'дек 2019'!F17</f>
        <v>12665.184000000001</v>
      </c>
      <c r="L15">
        <f>F15/4608.6/12</f>
        <v>0.22901358330078547</v>
      </c>
    </row>
    <row r="16" spans="1:12" ht="15.75" customHeight="1" x14ac:dyDescent="0.3">
      <c r="A16" s="8" t="s">
        <v>148</v>
      </c>
      <c r="B16" s="11" t="s">
        <v>16</v>
      </c>
      <c r="C16" s="217" t="s">
        <v>44</v>
      </c>
      <c r="D16" s="218"/>
      <c r="E16" s="12">
        <v>0.6</v>
      </c>
      <c r="F16" s="12">
        <f>'янв 2019'!F18+'февр 2019'!F18+'март 2019'!F18+'апр 2019'!F18+'май 2019'!F18+'июнь 2019'!F19+'июль 2019'!F18+'авг 2019'!F18+'сент 2019'!F18+'окт 2019'!F18+'нояб 2019'!F18+'дек 2019'!F18+0.02</f>
        <v>33119.167999999998</v>
      </c>
      <c r="L16">
        <f>F16/4608.6/12</f>
        <v>0.59886530978315899</v>
      </c>
    </row>
    <row r="17" spans="1:12" ht="15.75" customHeight="1" x14ac:dyDescent="0.3">
      <c r="A17" s="8"/>
      <c r="B17" s="5"/>
      <c r="C17" s="217"/>
      <c r="D17" s="218"/>
      <c r="E17" s="13"/>
      <c r="F17" s="12"/>
    </row>
    <row r="18" spans="1:12" x14ac:dyDescent="0.3">
      <c r="A18" s="117" t="s">
        <v>20</v>
      </c>
      <c r="B18" s="154"/>
      <c r="C18" s="154"/>
      <c r="D18" s="118"/>
      <c r="E18" s="119"/>
      <c r="F18" s="120">
        <f>F6+F7+F8+F9+F10+F11+F12+F14+F15+F16</f>
        <v>797313.61200000008</v>
      </c>
      <c r="L18" s="34">
        <f>'янв 2019'!F19+'февр 2019'!F19+'март 2019'!F19+'апр 2019'!F19+'май 2019'!F19+'июнь 2019'!F20+'июль 2019'!F19+'авг 2019'!F19+'сент 2019'!F19+'окт 2019'!F19+'нояб 2019'!F19+'дек 2019'!F19</f>
        <v>797313.61200000008</v>
      </c>
    </row>
    <row r="19" spans="1:12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2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2" ht="57.6" x14ac:dyDescent="0.3">
      <c r="A21" s="86" t="s">
        <v>253</v>
      </c>
      <c r="B21" s="24" t="s">
        <v>252</v>
      </c>
      <c r="C21" s="24" t="s">
        <v>28</v>
      </c>
      <c r="D21" s="24">
        <v>1.5</v>
      </c>
      <c r="E21" s="40">
        <f>F21/D21</f>
        <v>1925.3333333333333</v>
      </c>
      <c r="F21" s="40">
        <v>2888</v>
      </c>
    </row>
    <row r="22" spans="1:12" ht="57.6" x14ac:dyDescent="0.3">
      <c r="A22" s="86" t="s">
        <v>256</v>
      </c>
      <c r="B22" s="24" t="s">
        <v>255</v>
      </c>
      <c r="C22" s="24" t="s">
        <v>28</v>
      </c>
      <c r="D22" s="24">
        <v>0.5</v>
      </c>
      <c r="E22" s="40">
        <v>1210</v>
      </c>
      <c r="F22" s="40">
        <f>E22*D22</f>
        <v>605</v>
      </c>
    </row>
    <row r="23" spans="1:12" ht="57.6" x14ac:dyDescent="0.3">
      <c r="A23" s="86" t="s">
        <v>268</v>
      </c>
      <c r="B23" s="24" t="s">
        <v>269</v>
      </c>
      <c r="C23" s="24" t="s">
        <v>28</v>
      </c>
      <c r="D23" s="24">
        <v>0.5</v>
      </c>
      <c r="E23" s="40">
        <v>1210</v>
      </c>
      <c r="F23" s="40">
        <f>E23*D23</f>
        <v>605</v>
      </c>
    </row>
    <row r="24" spans="1:12" ht="28.8" x14ac:dyDescent="0.3">
      <c r="A24" s="86" t="s">
        <v>270</v>
      </c>
      <c r="B24" s="24" t="s">
        <v>269</v>
      </c>
      <c r="C24" s="24" t="s">
        <v>47</v>
      </c>
      <c r="D24" s="21">
        <v>1</v>
      </c>
      <c r="E24" s="40">
        <v>440</v>
      </c>
      <c r="F24" s="40">
        <v>440</v>
      </c>
    </row>
    <row r="25" spans="1:12" ht="48.75" customHeight="1" x14ac:dyDescent="0.3">
      <c r="A25" s="86" t="s">
        <v>273</v>
      </c>
      <c r="B25" s="24" t="s">
        <v>274</v>
      </c>
      <c r="C25" s="24" t="s">
        <v>27</v>
      </c>
      <c r="D25" s="24">
        <v>2.5</v>
      </c>
      <c r="E25" s="40">
        <f t="shared" ref="E25:E32" si="0">F25/D25</f>
        <v>1255.2</v>
      </c>
      <c r="F25" s="40">
        <v>3138</v>
      </c>
    </row>
    <row r="26" spans="1:12" ht="28.8" x14ac:dyDescent="0.3">
      <c r="A26" s="86" t="s">
        <v>277</v>
      </c>
      <c r="B26" s="24" t="s">
        <v>280</v>
      </c>
      <c r="C26" s="24" t="s">
        <v>27</v>
      </c>
      <c r="D26" s="24">
        <v>17</v>
      </c>
      <c r="E26" s="40">
        <f t="shared" si="0"/>
        <v>1170.1176470588234</v>
      </c>
      <c r="F26" s="40">
        <v>19892</v>
      </c>
    </row>
    <row r="27" spans="1:12" ht="32.25" customHeight="1" x14ac:dyDescent="0.3">
      <c r="A27" s="86" t="s">
        <v>285</v>
      </c>
      <c r="B27" s="24" t="s">
        <v>284</v>
      </c>
      <c r="C27" s="24" t="s">
        <v>47</v>
      </c>
      <c r="D27" s="24">
        <v>1</v>
      </c>
      <c r="E27" s="40">
        <f t="shared" si="0"/>
        <v>2145</v>
      </c>
      <c r="F27" s="40">
        <v>2145</v>
      </c>
    </row>
    <row r="28" spans="1:12" ht="72" x14ac:dyDescent="0.3">
      <c r="A28" s="86" t="s">
        <v>299</v>
      </c>
      <c r="B28" s="24" t="s">
        <v>298</v>
      </c>
      <c r="C28" s="24" t="s">
        <v>47</v>
      </c>
      <c r="D28" s="21">
        <v>2</v>
      </c>
      <c r="E28" s="40">
        <f t="shared" si="0"/>
        <v>3410</v>
      </c>
      <c r="F28" s="40">
        <v>6820</v>
      </c>
    </row>
    <row r="29" spans="1:12" ht="28.8" x14ac:dyDescent="0.3">
      <c r="A29" s="86" t="s">
        <v>291</v>
      </c>
      <c r="B29" s="24" t="s">
        <v>292</v>
      </c>
      <c r="C29" s="24" t="s">
        <v>27</v>
      </c>
      <c r="D29" s="24">
        <v>30</v>
      </c>
      <c r="E29" s="40">
        <f t="shared" si="0"/>
        <v>348.33333333333331</v>
      </c>
      <c r="F29" s="40">
        <v>10450</v>
      </c>
    </row>
    <row r="30" spans="1:12" ht="43.2" x14ac:dyDescent="0.3">
      <c r="A30" s="86" t="s">
        <v>296</v>
      </c>
      <c r="B30" s="24" t="s">
        <v>295</v>
      </c>
      <c r="C30" s="24" t="s">
        <v>47</v>
      </c>
      <c r="D30" s="24">
        <v>1</v>
      </c>
      <c r="E30" s="40">
        <f t="shared" si="0"/>
        <v>5005</v>
      </c>
      <c r="F30" s="40">
        <v>5005</v>
      </c>
    </row>
    <row r="31" spans="1:12" ht="43.2" x14ac:dyDescent="0.3">
      <c r="A31" s="86" t="s">
        <v>297</v>
      </c>
      <c r="B31" s="24" t="s">
        <v>295</v>
      </c>
      <c r="C31" s="24" t="s">
        <v>47</v>
      </c>
      <c r="D31" s="21">
        <v>1</v>
      </c>
      <c r="E31" s="40">
        <f t="shared" si="0"/>
        <v>550</v>
      </c>
      <c r="F31" s="40">
        <v>550</v>
      </c>
    </row>
    <row r="32" spans="1:12" ht="43.2" x14ac:dyDescent="0.3">
      <c r="A32" s="86" t="s">
        <v>303</v>
      </c>
      <c r="B32" s="24" t="s">
        <v>304</v>
      </c>
      <c r="C32" s="24" t="s">
        <v>47</v>
      </c>
      <c r="D32" s="24">
        <v>1</v>
      </c>
      <c r="E32" s="40">
        <f t="shared" si="0"/>
        <v>1650</v>
      </c>
      <c r="F32" s="40">
        <v>1650</v>
      </c>
    </row>
    <row r="33" spans="1:12" ht="18" customHeight="1" x14ac:dyDescent="0.3">
      <c r="A33" s="22" t="s">
        <v>21</v>
      </c>
      <c r="B33" s="5"/>
      <c r="C33" s="5"/>
      <c r="D33" s="5"/>
      <c r="E33" s="6"/>
      <c r="F33" s="6">
        <f>F21+F22+F23+F24+F25+F26+F27+F28+F29+F30+F31+F32</f>
        <v>54188</v>
      </c>
      <c r="L33" s="34">
        <f>'янв 2019'!F26+'февр 2019'!F26+'март 2019'!F26+'апр 2019'!F26+'май 2019'!F26+'июнь 2019'!F27+'июль 2019'!F26+'авг 2019'!F26+'сент 2019'!F26+'окт 2019'!F23+'нояб 2019'!F26+'дек 2019'!F26</f>
        <v>54188</v>
      </c>
    </row>
    <row r="34" spans="1:12" x14ac:dyDescent="0.3">
      <c r="A34" s="157"/>
    </row>
    <row r="36" spans="1:12" x14ac:dyDescent="0.3">
      <c r="A36" s="157"/>
    </row>
  </sheetData>
  <mergeCells count="16">
    <mergeCell ref="A19:F19"/>
    <mergeCell ref="C8:D8"/>
    <mergeCell ref="C9:D9"/>
    <mergeCell ref="C10:D10"/>
    <mergeCell ref="C11:D11"/>
    <mergeCell ref="C12:D12"/>
    <mergeCell ref="C14:D14"/>
    <mergeCell ref="C15:D15"/>
    <mergeCell ref="C16:D16"/>
    <mergeCell ref="C17:D17"/>
    <mergeCell ref="C7:D7"/>
    <mergeCell ref="A1:I1"/>
    <mergeCell ref="A2:I2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A19" sqref="A1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59"/>
      <c r="E4" s="1" t="s">
        <v>318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15.75" customHeight="1" x14ac:dyDescent="0.25">
      <c r="A15" s="8"/>
      <c r="B15" s="11"/>
      <c r="C15" s="217"/>
      <c r="D15" s="218"/>
      <c r="E15" s="12"/>
      <c r="F15" s="12"/>
    </row>
    <row r="16" spans="1:9" x14ac:dyDescent="0.3">
      <c r="A16" s="117" t="s">
        <v>20</v>
      </c>
      <c r="B16" s="160"/>
      <c r="C16" s="160"/>
      <c r="D16" s="118"/>
      <c r="E16" s="119"/>
      <c r="F16" s="165">
        <f>F9+F10+F11+F12+F13+F14</f>
        <v>63091.734000000004</v>
      </c>
    </row>
    <row r="17" spans="1:13" ht="15" customHeight="1" x14ac:dyDescent="0.3">
      <c r="A17" s="229" t="s">
        <v>17</v>
      </c>
      <c r="B17" s="229"/>
      <c r="C17" s="229"/>
      <c r="D17" s="229"/>
      <c r="E17" s="229"/>
      <c r="F17" s="229"/>
    </row>
    <row r="18" spans="1:13" ht="110.4" x14ac:dyDescent="0.3">
      <c r="A18" s="7" t="s">
        <v>3</v>
      </c>
      <c r="B18" s="7" t="s">
        <v>24</v>
      </c>
      <c r="C18" s="24" t="s">
        <v>4</v>
      </c>
      <c r="D18" s="21" t="s">
        <v>23</v>
      </c>
      <c r="E18" s="7" t="s">
        <v>5</v>
      </c>
      <c r="F18" s="7" t="s">
        <v>6</v>
      </c>
    </row>
    <row r="19" spans="1:13" ht="30.75" customHeight="1" x14ac:dyDescent="0.3">
      <c r="A19" s="86" t="s">
        <v>320</v>
      </c>
      <c r="B19" s="24" t="s">
        <v>319</v>
      </c>
      <c r="C19" s="24" t="s">
        <v>27</v>
      </c>
      <c r="D19" s="24">
        <v>37</v>
      </c>
      <c r="E19" s="40">
        <f>F19/D19</f>
        <v>314.24324324324323</v>
      </c>
      <c r="F19" s="40">
        <v>11627</v>
      </c>
    </row>
    <row r="20" spans="1:13" x14ac:dyDescent="0.3">
      <c r="A20" s="86"/>
      <c r="B20" s="24"/>
      <c r="C20" s="24"/>
      <c r="D20" s="21"/>
      <c r="E20" s="40"/>
      <c r="F20" s="40"/>
    </row>
    <row r="21" spans="1:13" ht="15.75" customHeight="1" x14ac:dyDescent="0.3">
      <c r="A21" s="86"/>
      <c r="B21" s="24"/>
      <c r="C21" s="24"/>
      <c r="D21" s="21"/>
      <c r="E21" s="40"/>
      <c r="F21" s="40"/>
    </row>
    <row r="22" spans="1:13" x14ac:dyDescent="0.3">
      <c r="A22" s="86"/>
      <c r="B22" s="24"/>
      <c r="C22" s="24"/>
      <c r="D22" s="21"/>
      <c r="E22" s="40"/>
      <c r="F22" s="40"/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F19+F20+F21+F22</f>
        <v>11627</v>
      </c>
    </row>
    <row r="24" spans="1:13" ht="45" customHeight="1" x14ac:dyDescent="0.3">
      <c r="A24" s="230" t="s">
        <v>322</v>
      </c>
      <c r="B24" s="230"/>
      <c r="C24" s="230"/>
      <c r="D24" s="230"/>
      <c r="E24" s="230"/>
      <c r="F24" s="230"/>
      <c r="K24" s="34">
        <f>F16+F23</f>
        <v>74718.733999999997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161"/>
      <c r="B28" s="161"/>
      <c r="C28" s="161"/>
      <c r="D28" s="161"/>
      <c r="E28" s="161"/>
      <c r="F28" s="161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4"/>
      <c r="B30" s="4"/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161"/>
      <c r="B32" s="161"/>
      <c r="C32" s="161"/>
      <c r="D32" s="161"/>
      <c r="E32" s="161"/>
      <c r="F32" s="161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281</v>
      </c>
      <c r="B34" s="225"/>
      <c r="C34" s="225"/>
      <c r="D34" s="225"/>
      <c r="E34" s="225"/>
      <c r="F34" s="225"/>
    </row>
    <row r="35" spans="1:6" x14ac:dyDescent="0.3">
      <c r="A35" s="159"/>
    </row>
    <row r="37" spans="1:6" x14ac:dyDescent="0.3">
      <c r="A37" s="159"/>
    </row>
  </sheetData>
  <mergeCells count="21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4:F34"/>
    <mergeCell ref="C15:D15"/>
    <mergeCell ref="A17:F17"/>
    <mergeCell ref="A24:F24"/>
    <mergeCell ref="A25:F25"/>
    <mergeCell ref="A26:F26"/>
    <mergeCell ref="A27:F27"/>
    <mergeCell ref="A31:F31"/>
    <mergeCell ref="A33:F3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K33" sqref="K3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62"/>
      <c r="E4" s="1" t="s">
        <v>321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15.75" customHeight="1" x14ac:dyDescent="0.25">
      <c r="A15" s="8"/>
      <c r="B15" s="11"/>
      <c r="C15" s="217"/>
      <c r="D15" s="218"/>
      <c r="E15" s="12"/>
      <c r="F15" s="12"/>
    </row>
    <row r="16" spans="1:9" x14ac:dyDescent="0.3">
      <c r="A16" s="117" t="s">
        <v>20</v>
      </c>
      <c r="B16" s="163"/>
      <c r="C16" s="163"/>
      <c r="D16" s="118"/>
      <c r="E16" s="119"/>
      <c r="F16" s="165">
        <f>F9+F10+F11+F12+F13+F14</f>
        <v>63091.734000000004</v>
      </c>
    </row>
    <row r="17" spans="1:13" ht="15" customHeight="1" x14ac:dyDescent="0.3">
      <c r="A17" s="229" t="s">
        <v>17</v>
      </c>
      <c r="B17" s="229"/>
      <c r="C17" s="229"/>
      <c r="D17" s="229"/>
      <c r="E17" s="229"/>
      <c r="F17" s="229"/>
    </row>
    <row r="18" spans="1:13" ht="110.4" x14ac:dyDescent="0.3">
      <c r="A18" s="7" t="s">
        <v>3</v>
      </c>
      <c r="B18" s="7" t="s">
        <v>24</v>
      </c>
      <c r="C18" s="24" t="s">
        <v>4</v>
      </c>
      <c r="D18" s="21" t="s">
        <v>23</v>
      </c>
      <c r="E18" s="7" t="s">
        <v>5</v>
      </c>
      <c r="F18" s="7" t="s">
        <v>6</v>
      </c>
    </row>
    <row r="19" spans="1:13" ht="15.75" customHeight="1" x14ac:dyDescent="0.3">
      <c r="A19" s="86"/>
      <c r="B19" s="24"/>
      <c r="C19" s="24"/>
      <c r="D19" s="24"/>
      <c r="E19" s="40"/>
      <c r="F19" s="40"/>
    </row>
    <row r="20" spans="1:13" x14ac:dyDescent="0.3">
      <c r="A20" s="86"/>
      <c r="B20" s="24"/>
      <c r="C20" s="24"/>
      <c r="D20" s="21"/>
      <c r="E20" s="40"/>
      <c r="F20" s="40"/>
    </row>
    <row r="21" spans="1:13" ht="15.75" customHeight="1" x14ac:dyDescent="0.3">
      <c r="A21" s="86"/>
      <c r="B21" s="24"/>
      <c r="C21" s="24"/>
      <c r="D21" s="21"/>
      <c r="E21" s="40"/>
      <c r="F21" s="40"/>
    </row>
    <row r="22" spans="1:13" x14ac:dyDescent="0.3">
      <c r="A22" s="86"/>
      <c r="B22" s="24"/>
      <c r="C22" s="24"/>
      <c r="D22" s="21"/>
      <c r="E22" s="40"/>
      <c r="F22" s="40"/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F19+F20+F21+F22</f>
        <v>0</v>
      </c>
    </row>
    <row r="24" spans="1:13" ht="45" customHeight="1" x14ac:dyDescent="0.3">
      <c r="A24" s="230" t="s">
        <v>323</v>
      </c>
      <c r="B24" s="230"/>
      <c r="C24" s="230"/>
      <c r="D24" s="230"/>
      <c r="E24" s="230"/>
      <c r="F24" s="230"/>
      <c r="K24" s="34">
        <f>F16+F23</f>
        <v>63091.734000000004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164"/>
      <c r="B28" s="164"/>
      <c r="C28" s="164"/>
      <c r="D28" s="164"/>
      <c r="E28" s="164"/>
      <c r="F28" s="164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4"/>
      <c r="B30" s="4"/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164"/>
      <c r="B32" s="164"/>
      <c r="C32" s="164"/>
      <c r="D32" s="164"/>
      <c r="E32" s="164"/>
      <c r="F32" s="164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281</v>
      </c>
      <c r="B34" s="225"/>
      <c r="C34" s="225"/>
      <c r="D34" s="225"/>
      <c r="E34" s="225"/>
      <c r="F34" s="225"/>
    </row>
    <row r="35" spans="1:6" x14ac:dyDescent="0.3">
      <c r="A35" s="162"/>
    </row>
    <row r="37" spans="1:6" x14ac:dyDescent="0.3">
      <c r="A37" s="162"/>
    </row>
  </sheetData>
  <mergeCells count="21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1:F31"/>
    <mergeCell ref="A33:F33"/>
    <mergeCell ref="A34:F34"/>
    <mergeCell ref="C15:D15"/>
    <mergeCell ref="A17:F17"/>
    <mergeCell ref="A24:F24"/>
    <mergeCell ref="A25:F25"/>
    <mergeCell ref="A26:F26"/>
    <mergeCell ref="A27:F27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E10" sqref="E1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66"/>
      <c r="E4" s="1" t="s">
        <v>324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15.75" customHeight="1" x14ac:dyDescent="0.25">
      <c r="A15" s="8"/>
      <c r="B15" s="11"/>
      <c r="C15" s="217"/>
      <c r="D15" s="218"/>
      <c r="E15" s="12"/>
      <c r="F15" s="12"/>
    </row>
    <row r="16" spans="1:9" x14ac:dyDescent="0.3">
      <c r="A16" s="117" t="s">
        <v>20</v>
      </c>
      <c r="B16" s="167"/>
      <c r="C16" s="167"/>
      <c r="D16" s="118"/>
      <c r="E16" s="119"/>
      <c r="F16" s="165">
        <f>F9+F10+F11+F12+F13+F14</f>
        <v>63091.734000000004</v>
      </c>
    </row>
    <row r="17" spans="1:13" ht="15" customHeight="1" x14ac:dyDescent="0.3">
      <c r="A17" s="229" t="s">
        <v>17</v>
      </c>
      <c r="B17" s="229"/>
      <c r="C17" s="229"/>
      <c r="D17" s="229"/>
      <c r="E17" s="229"/>
      <c r="F17" s="229"/>
    </row>
    <row r="18" spans="1:13" ht="110.4" x14ac:dyDescent="0.3">
      <c r="A18" s="7" t="s">
        <v>3</v>
      </c>
      <c r="B18" s="7" t="s">
        <v>24</v>
      </c>
      <c r="C18" s="24" t="s">
        <v>4</v>
      </c>
      <c r="D18" s="21" t="s">
        <v>23</v>
      </c>
      <c r="E18" s="7" t="s">
        <v>5</v>
      </c>
      <c r="F18" s="7" t="s">
        <v>6</v>
      </c>
    </row>
    <row r="19" spans="1:13" ht="15.75" customHeight="1" x14ac:dyDescent="0.3">
      <c r="A19" s="86"/>
      <c r="B19" s="24"/>
      <c r="C19" s="24"/>
      <c r="D19" s="24"/>
      <c r="E19" s="40"/>
      <c r="F19" s="40"/>
    </row>
    <row r="20" spans="1:13" x14ac:dyDescent="0.3">
      <c r="A20" s="86"/>
      <c r="B20" s="24"/>
      <c r="C20" s="24"/>
      <c r="D20" s="21"/>
      <c r="E20" s="40"/>
      <c r="F20" s="40"/>
    </row>
    <row r="21" spans="1:13" ht="15.75" customHeight="1" x14ac:dyDescent="0.3">
      <c r="A21" s="86"/>
      <c r="B21" s="24"/>
      <c r="C21" s="24"/>
      <c r="D21" s="21"/>
      <c r="E21" s="40"/>
      <c r="F21" s="40"/>
    </row>
    <row r="22" spans="1:13" x14ac:dyDescent="0.3">
      <c r="A22" s="86"/>
      <c r="B22" s="24"/>
      <c r="C22" s="24"/>
      <c r="D22" s="21"/>
      <c r="E22" s="40"/>
      <c r="F22" s="40"/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F19+F20+F21+F22</f>
        <v>0</v>
      </c>
    </row>
    <row r="24" spans="1:13" ht="45" customHeight="1" x14ac:dyDescent="0.3">
      <c r="A24" s="230" t="s">
        <v>325</v>
      </c>
      <c r="B24" s="230"/>
      <c r="C24" s="230"/>
      <c r="D24" s="230"/>
      <c r="E24" s="230"/>
      <c r="F24" s="230"/>
      <c r="K24" s="34">
        <f>F16+F23</f>
        <v>63091.734000000004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168"/>
      <c r="B28" s="168"/>
      <c r="C28" s="168"/>
      <c r="D28" s="168"/>
      <c r="E28" s="168"/>
      <c r="F28" s="168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4"/>
      <c r="B30" s="4"/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168"/>
      <c r="B32" s="168"/>
      <c r="C32" s="168"/>
      <c r="D32" s="168"/>
      <c r="E32" s="168"/>
      <c r="F32" s="168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281</v>
      </c>
      <c r="B34" s="225"/>
      <c r="C34" s="225"/>
      <c r="D34" s="225"/>
      <c r="E34" s="225"/>
      <c r="F34" s="225"/>
    </row>
    <row r="35" spans="1:6" x14ac:dyDescent="0.3">
      <c r="A35" s="166"/>
    </row>
    <row r="37" spans="1:6" x14ac:dyDescent="0.3">
      <c r="A37" s="166"/>
    </row>
  </sheetData>
  <mergeCells count="21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1:F31"/>
    <mergeCell ref="A33:F33"/>
    <mergeCell ref="A34:F34"/>
    <mergeCell ref="C15:D15"/>
    <mergeCell ref="A17:F17"/>
    <mergeCell ref="A24:F24"/>
    <mergeCell ref="A25:F25"/>
    <mergeCell ref="A26:F26"/>
    <mergeCell ref="A27:F27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A19" sqref="A19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41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69"/>
      <c r="E4" s="1" t="s">
        <v>326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15.75" customHeight="1" x14ac:dyDescent="0.25">
      <c r="A15" s="8"/>
      <c r="B15" s="11"/>
      <c r="C15" s="217"/>
      <c r="D15" s="218"/>
      <c r="E15" s="12"/>
      <c r="F15" s="12"/>
    </row>
    <row r="16" spans="1:9" x14ac:dyDescent="0.3">
      <c r="A16" s="117" t="s">
        <v>20</v>
      </c>
      <c r="B16" s="170"/>
      <c r="C16" s="170"/>
      <c r="D16" s="118"/>
      <c r="E16" s="119"/>
      <c r="F16" s="165">
        <f>F9+F10+F11+F12+F13+F14</f>
        <v>63091.734000000004</v>
      </c>
    </row>
    <row r="17" spans="1:13" ht="15" customHeight="1" x14ac:dyDescent="0.3">
      <c r="A17" s="229" t="s">
        <v>17</v>
      </c>
      <c r="B17" s="229"/>
      <c r="C17" s="229"/>
      <c r="D17" s="229"/>
      <c r="E17" s="229"/>
      <c r="F17" s="229"/>
    </row>
    <row r="18" spans="1:13" ht="110.4" x14ac:dyDescent="0.3">
      <c r="A18" s="7" t="s">
        <v>3</v>
      </c>
      <c r="B18" s="7" t="s">
        <v>24</v>
      </c>
      <c r="C18" s="24" t="s">
        <v>4</v>
      </c>
      <c r="D18" s="21" t="s">
        <v>23</v>
      </c>
      <c r="E18" s="7" t="s">
        <v>5</v>
      </c>
      <c r="F18" s="7" t="s">
        <v>6</v>
      </c>
    </row>
    <row r="19" spans="1:13" ht="30" customHeight="1" x14ac:dyDescent="0.3">
      <c r="A19" s="86" t="s">
        <v>327</v>
      </c>
      <c r="B19" s="24" t="s">
        <v>328</v>
      </c>
      <c r="C19" s="24" t="s">
        <v>47</v>
      </c>
      <c r="D19" s="24">
        <v>1</v>
      </c>
      <c r="E19" s="40"/>
      <c r="F19" s="40">
        <v>7700</v>
      </c>
    </row>
    <row r="20" spans="1:13" x14ac:dyDescent="0.3">
      <c r="A20" s="86"/>
      <c r="B20" s="24"/>
      <c r="C20" s="24"/>
      <c r="D20" s="21"/>
      <c r="E20" s="40"/>
      <c r="F20" s="40"/>
    </row>
    <row r="21" spans="1:13" ht="15.75" customHeight="1" x14ac:dyDescent="0.3">
      <c r="A21" s="86"/>
      <c r="B21" s="24"/>
      <c r="C21" s="24"/>
      <c r="D21" s="21"/>
      <c r="E21" s="40"/>
      <c r="F21" s="40"/>
    </row>
    <row r="22" spans="1:13" x14ac:dyDescent="0.3">
      <c r="A22" s="86"/>
      <c r="B22" s="24"/>
      <c r="C22" s="24"/>
      <c r="D22" s="21"/>
      <c r="E22" s="40"/>
      <c r="F22" s="40"/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F19+F20+F21+F22</f>
        <v>7700</v>
      </c>
    </row>
    <row r="24" spans="1:13" ht="45" customHeight="1" x14ac:dyDescent="0.3">
      <c r="A24" s="230" t="s">
        <v>329</v>
      </c>
      <c r="B24" s="230"/>
      <c r="C24" s="230"/>
      <c r="D24" s="230"/>
      <c r="E24" s="230"/>
      <c r="F24" s="230"/>
      <c r="K24" s="34">
        <f>F16+F23</f>
        <v>70791.733999999997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171"/>
      <c r="B28" s="171"/>
      <c r="C28" s="171"/>
      <c r="D28" s="171"/>
      <c r="E28" s="171"/>
      <c r="F28" s="171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4"/>
      <c r="B30" s="4"/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171"/>
      <c r="B32" s="171"/>
      <c r="C32" s="171"/>
      <c r="D32" s="171"/>
      <c r="E32" s="171"/>
      <c r="F32" s="171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281</v>
      </c>
      <c r="B34" s="225"/>
      <c r="C34" s="225"/>
      <c r="D34" s="225"/>
      <c r="E34" s="225"/>
      <c r="F34" s="225"/>
    </row>
    <row r="35" spans="1:6" x14ac:dyDescent="0.3">
      <c r="A35" s="169"/>
    </row>
    <row r="37" spans="1:6" x14ac:dyDescent="0.3">
      <c r="A37" s="169"/>
    </row>
  </sheetData>
  <mergeCells count="21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1:F31"/>
    <mergeCell ref="A33:F33"/>
    <mergeCell ref="A34:F34"/>
    <mergeCell ref="C15:D15"/>
    <mergeCell ref="A17:F17"/>
    <mergeCell ref="A24:F24"/>
    <mergeCell ref="A25:F25"/>
    <mergeCell ref="A26:F26"/>
    <mergeCell ref="A27:F27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A15" sqref="A15:F1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42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72"/>
      <c r="E4" s="1" t="s">
        <v>330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75" customHeight="1" x14ac:dyDescent="0.3">
      <c r="A15" s="8" t="s">
        <v>341</v>
      </c>
      <c r="B15" s="234" t="s">
        <v>342</v>
      </c>
      <c r="C15" s="245" t="s">
        <v>344</v>
      </c>
      <c r="D15" s="246"/>
      <c r="E15" s="249" t="s">
        <v>343</v>
      </c>
      <c r="F15" s="251">
        <v>0</v>
      </c>
    </row>
    <row r="16" spans="1:9" ht="58.5" customHeight="1" x14ac:dyDescent="0.3">
      <c r="A16" s="8" t="s">
        <v>345</v>
      </c>
      <c r="B16" s="235"/>
      <c r="C16" s="247"/>
      <c r="D16" s="248"/>
      <c r="E16" s="250"/>
      <c r="F16" s="252"/>
    </row>
    <row r="17" spans="1:13" x14ac:dyDescent="0.3">
      <c r="A17" s="117" t="s">
        <v>20</v>
      </c>
      <c r="B17" s="173"/>
      <c r="C17" s="173" t="s">
        <v>340</v>
      </c>
      <c r="D17" s="118"/>
      <c r="E17" s="119"/>
      <c r="F17" s="165">
        <f>F9+F10+F11+F12+F13+F14+F15</f>
        <v>63091.734000000004</v>
      </c>
    </row>
    <row r="18" spans="1:13" ht="15" customHeight="1" x14ac:dyDescent="0.3">
      <c r="A18" s="229" t="s">
        <v>17</v>
      </c>
      <c r="B18" s="229"/>
      <c r="C18" s="229"/>
      <c r="D18" s="229"/>
      <c r="E18" s="229"/>
      <c r="F18" s="229"/>
    </row>
    <row r="19" spans="1:13" ht="110.4" x14ac:dyDescent="0.3">
      <c r="A19" s="7" t="s">
        <v>3</v>
      </c>
      <c r="B19" s="7" t="s">
        <v>24</v>
      </c>
      <c r="C19" s="24" t="s">
        <v>4</v>
      </c>
      <c r="D19" s="21" t="s">
        <v>23</v>
      </c>
      <c r="E19" s="7" t="s">
        <v>5</v>
      </c>
      <c r="F19" s="7" t="s">
        <v>6</v>
      </c>
    </row>
    <row r="20" spans="1:13" ht="30" customHeight="1" x14ac:dyDescent="0.3">
      <c r="A20" s="86" t="s">
        <v>332</v>
      </c>
      <c r="B20" s="24" t="s">
        <v>331</v>
      </c>
      <c r="C20" s="24" t="s">
        <v>27</v>
      </c>
      <c r="D20" s="24">
        <v>2</v>
      </c>
      <c r="E20" s="40">
        <f>F20/D20</f>
        <v>2238.5</v>
      </c>
      <c r="F20" s="40">
        <v>4477</v>
      </c>
    </row>
    <row r="21" spans="1:13" ht="15" x14ac:dyDescent="0.25">
      <c r="A21" s="86"/>
      <c r="B21" s="24"/>
      <c r="C21" s="24"/>
      <c r="D21" s="21"/>
      <c r="E21" s="40"/>
      <c r="F21" s="40"/>
    </row>
    <row r="22" spans="1:13" ht="15.75" customHeight="1" x14ac:dyDescent="0.25">
      <c r="A22" s="86"/>
      <c r="B22" s="24"/>
      <c r="C22" s="24"/>
      <c r="D22" s="21"/>
      <c r="E22" s="40"/>
      <c r="F22" s="40"/>
    </row>
    <row r="23" spans="1:13" ht="15" x14ac:dyDescent="0.25">
      <c r="A23" s="86"/>
      <c r="B23" s="24"/>
      <c r="C23" s="24"/>
      <c r="D23" s="21"/>
      <c r="E23" s="40"/>
      <c r="F23" s="40"/>
    </row>
    <row r="24" spans="1:13" ht="18" customHeight="1" x14ac:dyDescent="0.3">
      <c r="A24" s="121" t="s">
        <v>21</v>
      </c>
      <c r="B24" s="122"/>
      <c r="C24" s="122"/>
      <c r="D24" s="122"/>
      <c r="E24" s="123"/>
      <c r="F24" s="123">
        <f>F20+F21+F22+F23</f>
        <v>4477</v>
      </c>
    </row>
    <row r="25" spans="1:13" ht="45" customHeight="1" x14ac:dyDescent="0.3">
      <c r="A25" s="230" t="s">
        <v>335</v>
      </c>
      <c r="B25" s="230"/>
      <c r="C25" s="230"/>
      <c r="D25" s="230"/>
      <c r="E25" s="230"/>
      <c r="F25" s="230"/>
      <c r="K25" s="34">
        <f>F17+F24</f>
        <v>67568.733999999997</v>
      </c>
      <c r="L25" s="34"/>
      <c r="M25" s="34"/>
    </row>
    <row r="26" spans="1:13" ht="33.75" customHeight="1" x14ac:dyDescent="0.3">
      <c r="A26" s="231" t="s">
        <v>7</v>
      </c>
      <c r="B26" s="231"/>
      <c r="C26" s="231"/>
      <c r="D26" s="231"/>
      <c r="E26" s="231"/>
      <c r="F26" s="231"/>
    </row>
    <row r="27" spans="1:13" x14ac:dyDescent="0.3">
      <c r="A27" s="232" t="s">
        <v>8</v>
      </c>
      <c r="B27" s="232"/>
      <c r="C27" s="232"/>
      <c r="D27" s="232"/>
      <c r="E27" s="232"/>
      <c r="F27" s="232"/>
    </row>
    <row r="28" spans="1:13" ht="32.25" customHeight="1" x14ac:dyDescent="0.3">
      <c r="A28" s="231" t="s">
        <v>9</v>
      </c>
      <c r="B28" s="231"/>
      <c r="C28" s="231"/>
      <c r="D28" s="231"/>
      <c r="E28" s="231"/>
      <c r="F28" s="231"/>
    </row>
    <row r="29" spans="1:13" x14ac:dyDescent="0.3">
      <c r="A29" s="174"/>
      <c r="B29" s="174"/>
      <c r="C29" s="174"/>
      <c r="D29" s="174"/>
      <c r="E29" s="174"/>
      <c r="F29" s="174"/>
    </row>
    <row r="30" spans="1:13" x14ac:dyDescent="0.3">
      <c r="A30" s="4"/>
      <c r="B30" s="4" t="s">
        <v>10</v>
      </c>
      <c r="C30" s="4"/>
      <c r="D30" s="4"/>
      <c r="E30" s="4"/>
      <c r="F30" s="4"/>
    </row>
    <row r="31" spans="1:13" x14ac:dyDescent="0.3">
      <c r="A31" s="4"/>
      <c r="B31" s="4"/>
      <c r="C31" s="4"/>
      <c r="D31" s="4"/>
      <c r="E31" s="4"/>
      <c r="F31" s="4"/>
    </row>
    <row r="32" spans="1:13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174"/>
      <c r="B33" s="174"/>
      <c r="C33" s="174"/>
      <c r="D33" s="174"/>
      <c r="E33" s="174"/>
      <c r="F33" s="174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281</v>
      </c>
      <c r="B35" s="225"/>
      <c r="C35" s="225"/>
      <c r="D35" s="225"/>
      <c r="E35" s="225"/>
      <c r="F35" s="225"/>
    </row>
    <row r="36" spans="1:6" x14ac:dyDescent="0.3">
      <c r="A36" s="172"/>
    </row>
    <row r="38" spans="1:6" x14ac:dyDescent="0.3">
      <c r="A38" s="172"/>
    </row>
  </sheetData>
  <mergeCells count="24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4:F34"/>
    <mergeCell ref="A35:F35"/>
    <mergeCell ref="A18:F18"/>
    <mergeCell ref="A25:F25"/>
    <mergeCell ref="A26:F26"/>
    <mergeCell ref="A27:F27"/>
    <mergeCell ref="A28:F28"/>
    <mergeCell ref="B15:B16"/>
    <mergeCell ref="C15:D16"/>
    <mergeCell ref="E15:E16"/>
    <mergeCell ref="F15:F16"/>
    <mergeCell ref="A32:F32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0" workbookViewId="0">
      <selection activeCell="A15" sqref="A15:F1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40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76"/>
      <c r="E4" s="1" t="s">
        <v>333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2.27</v>
      </c>
      <c r="F10" s="33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66" customHeight="1" x14ac:dyDescent="0.3">
      <c r="A15" s="69" t="s">
        <v>334</v>
      </c>
      <c r="B15" s="24" t="s">
        <v>89</v>
      </c>
      <c r="C15" s="217" t="s">
        <v>338</v>
      </c>
      <c r="D15" s="218"/>
      <c r="E15" s="10">
        <v>7.0000000000000007E-2</v>
      </c>
      <c r="F15" s="10">
        <v>3900</v>
      </c>
    </row>
    <row r="16" spans="1:9" ht="72.75" customHeight="1" x14ac:dyDescent="0.3">
      <c r="A16" s="8" t="s">
        <v>341</v>
      </c>
      <c r="B16" s="234" t="s">
        <v>347</v>
      </c>
      <c r="C16" s="245" t="s">
        <v>344</v>
      </c>
      <c r="D16" s="246"/>
      <c r="E16" s="249" t="s">
        <v>346</v>
      </c>
      <c r="F16" s="251">
        <v>0</v>
      </c>
    </row>
    <row r="17" spans="1:13" ht="57.6" x14ac:dyDescent="0.3">
      <c r="A17" s="8" t="s">
        <v>345</v>
      </c>
      <c r="B17" s="235"/>
      <c r="C17" s="247"/>
      <c r="D17" s="248"/>
      <c r="E17" s="250"/>
      <c r="F17" s="252"/>
    </row>
    <row r="18" spans="1:13" x14ac:dyDescent="0.3">
      <c r="A18" s="117" t="s">
        <v>20</v>
      </c>
      <c r="B18" s="177"/>
      <c r="C18" s="177" t="s">
        <v>340</v>
      </c>
      <c r="D18" s="118"/>
      <c r="E18" s="119"/>
      <c r="F18" s="165">
        <f>F9+F10+F11+F12+F13+F14+F15+F16</f>
        <v>66991.733999999997</v>
      </c>
    </row>
    <row r="19" spans="1:13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13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13" ht="45.75" customHeight="1" x14ac:dyDescent="0.3">
      <c r="A21" s="86" t="s">
        <v>337</v>
      </c>
      <c r="B21" s="24" t="s">
        <v>336</v>
      </c>
      <c r="C21" s="24" t="s">
        <v>47</v>
      </c>
      <c r="D21" s="24">
        <v>6</v>
      </c>
      <c r="E21" s="40">
        <f>F21/D21</f>
        <v>849.5</v>
      </c>
      <c r="F21" s="40">
        <v>5097</v>
      </c>
    </row>
    <row r="22" spans="1:13" ht="28.8" x14ac:dyDescent="0.3">
      <c r="A22" s="86" t="s">
        <v>339</v>
      </c>
      <c r="B22" s="24" t="s">
        <v>336</v>
      </c>
      <c r="C22" s="24" t="s">
        <v>47</v>
      </c>
      <c r="D22" s="21">
        <v>1</v>
      </c>
      <c r="E22" s="40">
        <f>F22/D22</f>
        <v>1760</v>
      </c>
      <c r="F22" s="40">
        <v>1760</v>
      </c>
    </row>
    <row r="23" spans="1:13" ht="15.75" customHeight="1" x14ac:dyDescent="0.3">
      <c r="A23" s="86"/>
      <c r="B23" s="24"/>
      <c r="C23" s="24"/>
      <c r="D23" s="21"/>
      <c r="E23" s="40"/>
      <c r="F23" s="40"/>
    </row>
    <row r="24" spans="1:13" x14ac:dyDescent="0.3">
      <c r="A24" s="86"/>
      <c r="B24" s="24"/>
      <c r="C24" s="24"/>
      <c r="D24" s="21"/>
      <c r="E24" s="40"/>
      <c r="F24" s="40"/>
    </row>
    <row r="25" spans="1:13" ht="18" customHeight="1" x14ac:dyDescent="0.3">
      <c r="A25" s="121" t="s">
        <v>21</v>
      </c>
      <c r="B25" s="122"/>
      <c r="C25" s="122"/>
      <c r="D25" s="122"/>
      <c r="E25" s="123"/>
      <c r="F25" s="123">
        <f>F21+F22+F23+F24</f>
        <v>6857</v>
      </c>
    </row>
    <row r="26" spans="1:13" ht="45" customHeight="1" x14ac:dyDescent="0.3">
      <c r="A26" s="230" t="s">
        <v>348</v>
      </c>
      <c r="B26" s="230"/>
      <c r="C26" s="230"/>
      <c r="D26" s="230"/>
      <c r="E26" s="230"/>
      <c r="F26" s="230"/>
      <c r="K26" s="34">
        <f>F18+F25</f>
        <v>73848.733999999997</v>
      </c>
      <c r="L26" s="34"/>
      <c r="M26" s="34"/>
    </row>
    <row r="27" spans="1:13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3" x14ac:dyDescent="0.3">
      <c r="A28" s="232" t="s">
        <v>8</v>
      </c>
      <c r="B28" s="232"/>
      <c r="C28" s="232"/>
      <c r="D28" s="232"/>
      <c r="E28" s="232"/>
      <c r="F28" s="232"/>
    </row>
    <row r="29" spans="1:13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3" x14ac:dyDescent="0.3">
      <c r="A30" s="175"/>
      <c r="B30" s="175"/>
      <c r="C30" s="175"/>
      <c r="D30" s="175"/>
      <c r="E30" s="175"/>
      <c r="F30" s="175"/>
    </row>
    <row r="31" spans="1:13" x14ac:dyDescent="0.3">
      <c r="A31" s="4"/>
      <c r="B31" s="4" t="s">
        <v>10</v>
      </c>
      <c r="C31" s="4"/>
      <c r="D31" s="4"/>
      <c r="E31" s="4"/>
      <c r="F31" s="4"/>
    </row>
    <row r="32" spans="1:13" x14ac:dyDescent="0.3">
      <c r="A32" s="4"/>
      <c r="B32" s="4"/>
      <c r="C32" s="4"/>
      <c r="D32" s="4"/>
      <c r="E32" s="4"/>
      <c r="F32" s="4"/>
    </row>
    <row r="33" spans="1:6" x14ac:dyDescent="0.3">
      <c r="A33" s="225" t="s">
        <v>11</v>
      </c>
      <c r="B33" s="225"/>
      <c r="C33" s="225"/>
      <c r="D33" s="225"/>
      <c r="E33" s="225"/>
      <c r="F33" s="225"/>
    </row>
    <row r="34" spans="1:6" x14ac:dyDescent="0.3">
      <c r="A34" s="175"/>
      <c r="B34" s="175"/>
      <c r="C34" s="175"/>
      <c r="D34" s="175"/>
      <c r="E34" s="175"/>
      <c r="F34" s="175"/>
    </row>
    <row r="35" spans="1:6" x14ac:dyDescent="0.3">
      <c r="A35" s="225" t="s">
        <v>54</v>
      </c>
      <c r="B35" s="225"/>
      <c r="C35" s="225"/>
      <c r="D35" s="225"/>
      <c r="E35" s="225"/>
      <c r="F35" s="225"/>
    </row>
    <row r="36" spans="1:6" x14ac:dyDescent="0.3">
      <c r="A36" s="225" t="s">
        <v>281</v>
      </c>
      <c r="B36" s="225"/>
      <c r="C36" s="225"/>
      <c r="D36" s="225"/>
      <c r="E36" s="225"/>
      <c r="F36" s="225"/>
    </row>
    <row r="37" spans="1:6" x14ac:dyDescent="0.3">
      <c r="A37" s="176"/>
    </row>
    <row r="39" spans="1:6" x14ac:dyDescent="0.3">
      <c r="A39" s="176"/>
    </row>
  </sheetData>
  <mergeCells count="25">
    <mergeCell ref="A33:F33"/>
    <mergeCell ref="A35:F35"/>
    <mergeCell ref="A36:F36"/>
    <mergeCell ref="C15:D15"/>
    <mergeCell ref="A19:F19"/>
    <mergeCell ref="A26:F26"/>
    <mergeCell ref="A27:F27"/>
    <mergeCell ref="A28:F28"/>
    <mergeCell ref="A29:F29"/>
    <mergeCell ref="B16:B17"/>
    <mergeCell ref="C16:D17"/>
    <mergeCell ref="E16:E17"/>
    <mergeCell ref="F16:F17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7" workbookViewId="0">
      <selection activeCell="A18" sqref="A18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39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78"/>
      <c r="E4" s="1" t="s">
        <v>349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81">
        <v>2.27</v>
      </c>
      <c r="F10" s="181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179"/>
      <c r="C15" s="179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45.75" customHeight="1" x14ac:dyDescent="0.3">
      <c r="A18" s="86" t="s">
        <v>351</v>
      </c>
      <c r="B18" s="24" t="s">
        <v>350</v>
      </c>
      <c r="C18" s="24" t="s">
        <v>47</v>
      </c>
      <c r="D18" s="24">
        <v>6</v>
      </c>
      <c r="E18" s="40">
        <f>F18/D18</f>
        <v>2282.3333333333335</v>
      </c>
      <c r="F18" s="40">
        <v>13694</v>
      </c>
    </row>
    <row r="19" spans="1:13" ht="28.8" x14ac:dyDescent="0.3">
      <c r="A19" s="86" t="s">
        <v>352</v>
      </c>
      <c r="B19" s="24" t="s">
        <v>350</v>
      </c>
      <c r="C19" s="24" t="s">
        <v>47</v>
      </c>
      <c r="D19" s="21">
        <v>1</v>
      </c>
      <c r="E19" s="40">
        <f>F19/D19</f>
        <v>440</v>
      </c>
      <c r="F19" s="40">
        <v>440</v>
      </c>
    </row>
    <row r="20" spans="1:13" ht="15.75" customHeight="1" x14ac:dyDescent="0.3">
      <c r="A20" s="86"/>
      <c r="B20" s="24"/>
      <c r="C20" s="24"/>
      <c r="D20" s="21"/>
      <c r="E20" s="40"/>
      <c r="F20" s="40"/>
    </row>
    <row r="21" spans="1:13" x14ac:dyDescent="0.3">
      <c r="A21" s="86"/>
      <c r="B21" s="24"/>
      <c r="C21" s="24"/>
      <c r="D21" s="21"/>
      <c r="E21" s="40"/>
      <c r="F21" s="40"/>
    </row>
    <row r="22" spans="1:13" ht="18" customHeight="1" x14ac:dyDescent="0.3">
      <c r="A22" s="121" t="s">
        <v>21</v>
      </c>
      <c r="B22" s="122"/>
      <c r="C22" s="122"/>
      <c r="D22" s="122"/>
      <c r="E22" s="123"/>
      <c r="F22" s="123">
        <f>F18+F19+F20+F21</f>
        <v>14134</v>
      </c>
    </row>
    <row r="23" spans="1:13" ht="45" customHeight="1" x14ac:dyDescent="0.3">
      <c r="A23" s="230" t="s">
        <v>353</v>
      </c>
      <c r="B23" s="230"/>
      <c r="C23" s="230"/>
      <c r="D23" s="230"/>
      <c r="E23" s="230"/>
      <c r="F23" s="230"/>
      <c r="K23" s="34">
        <f>F15+F22</f>
        <v>77225.733999999997</v>
      </c>
      <c r="L23" s="34"/>
      <c r="M23" s="34"/>
    </row>
    <row r="24" spans="1:13" ht="33.75" customHeight="1" x14ac:dyDescent="0.3">
      <c r="A24" s="231" t="s">
        <v>7</v>
      </c>
      <c r="B24" s="231"/>
      <c r="C24" s="231"/>
      <c r="D24" s="231"/>
      <c r="E24" s="231"/>
      <c r="F24" s="231"/>
    </row>
    <row r="25" spans="1:13" x14ac:dyDescent="0.3">
      <c r="A25" s="232" t="s">
        <v>8</v>
      </c>
      <c r="B25" s="232"/>
      <c r="C25" s="232"/>
      <c r="D25" s="232"/>
      <c r="E25" s="232"/>
      <c r="F25" s="232"/>
    </row>
    <row r="26" spans="1:13" ht="32.25" customHeight="1" x14ac:dyDescent="0.3">
      <c r="A26" s="231" t="s">
        <v>9</v>
      </c>
      <c r="B26" s="231"/>
      <c r="C26" s="231"/>
      <c r="D26" s="231"/>
      <c r="E26" s="231"/>
      <c r="F26" s="231"/>
    </row>
    <row r="27" spans="1:13" x14ac:dyDescent="0.3">
      <c r="A27" s="180"/>
      <c r="B27" s="180"/>
      <c r="C27" s="180"/>
      <c r="D27" s="180"/>
      <c r="E27" s="180"/>
      <c r="F27" s="180"/>
    </row>
    <row r="28" spans="1:13" x14ac:dyDescent="0.3">
      <c r="A28" s="4"/>
      <c r="B28" s="4" t="s">
        <v>10</v>
      </c>
      <c r="C28" s="4"/>
      <c r="D28" s="4"/>
      <c r="E28" s="4"/>
      <c r="F28" s="4"/>
    </row>
    <row r="29" spans="1:13" x14ac:dyDescent="0.3">
      <c r="A29" s="4"/>
      <c r="B29" s="4"/>
      <c r="C29" s="4"/>
      <c r="D29" s="4"/>
      <c r="E29" s="4"/>
      <c r="F29" s="4"/>
    </row>
    <row r="30" spans="1:13" x14ac:dyDescent="0.3">
      <c r="A30" s="225" t="s">
        <v>11</v>
      </c>
      <c r="B30" s="225"/>
      <c r="C30" s="225"/>
      <c r="D30" s="225"/>
      <c r="E30" s="225"/>
      <c r="F30" s="225"/>
    </row>
    <row r="31" spans="1:13" x14ac:dyDescent="0.3">
      <c r="A31" s="180"/>
      <c r="B31" s="180"/>
      <c r="C31" s="180"/>
      <c r="D31" s="180"/>
      <c r="E31" s="180"/>
      <c r="F31" s="180"/>
    </row>
    <row r="32" spans="1:13" x14ac:dyDescent="0.3">
      <c r="A32" s="225" t="s">
        <v>54</v>
      </c>
      <c r="B32" s="225"/>
      <c r="C32" s="225"/>
      <c r="D32" s="225"/>
      <c r="E32" s="225"/>
      <c r="F32" s="225"/>
    </row>
    <row r="33" spans="1:6" x14ac:dyDescent="0.3">
      <c r="A33" s="225" t="s">
        <v>281</v>
      </c>
      <c r="B33" s="225"/>
      <c r="C33" s="225"/>
      <c r="D33" s="225"/>
      <c r="E33" s="225"/>
      <c r="F33" s="225"/>
    </row>
    <row r="34" spans="1:6" x14ac:dyDescent="0.3">
      <c r="A34" s="178"/>
    </row>
    <row r="36" spans="1:6" x14ac:dyDescent="0.3">
      <c r="A36" s="178"/>
    </row>
  </sheetData>
  <mergeCells count="20">
    <mergeCell ref="A8:F8"/>
    <mergeCell ref="A1:I1"/>
    <mergeCell ref="A2:I2"/>
    <mergeCell ref="A4:B4"/>
    <mergeCell ref="A6:I6"/>
    <mergeCell ref="C7:D7"/>
    <mergeCell ref="A16:F16"/>
    <mergeCell ref="C9:D9"/>
    <mergeCell ref="C10:D10"/>
    <mergeCell ref="C11:D11"/>
    <mergeCell ref="C12:D12"/>
    <mergeCell ref="C13:D13"/>
    <mergeCell ref="C14:D14"/>
    <mergeCell ref="A33:F33"/>
    <mergeCell ref="A23:F23"/>
    <mergeCell ref="A24:F24"/>
    <mergeCell ref="A25:F25"/>
    <mergeCell ref="A26:F26"/>
    <mergeCell ref="A30:F30"/>
    <mergeCell ref="A32:F32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7" workbookViewId="0">
      <selection activeCell="A18" sqref="A18:F1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38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84"/>
      <c r="E4" s="1" t="s">
        <v>354</v>
      </c>
      <c r="F4" s="1"/>
    </row>
    <row r="6" spans="1:9" ht="175.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85">
        <v>2.27</v>
      </c>
      <c r="F10" s="185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182"/>
      <c r="C15" s="182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31.5" customHeight="1" x14ac:dyDescent="0.3">
      <c r="A18" s="86" t="s">
        <v>356</v>
      </c>
      <c r="B18" s="24" t="s">
        <v>355</v>
      </c>
      <c r="C18" s="24" t="s">
        <v>47</v>
      </c>
      <c r="D18" s="24">
        <v>1</v>
      </c>
      <c r="E18" s="40">
        <f>F18/D18</f>
        <v>13200</v>
      </c>
      <c r="F18" s="40">
        <v>13200</v>
      </c>
    </row>
    <row r="19" spans="1:13" ht="57.6" x14ac:dyDescent="0.3">
      <c r="A19" s="86" t="s">
        <v>357</v>
      </c>
      <c r="B19" s="24" t="s">
        <v>355</v>
      </c>
      <c r="C19" s="24" t="s">
        <v>47</v>
      </c>
      <c r="D19" s="21">
        <v>2</v>
      </c>
      <c r="E19" s="40">
        <f>F19/D19</f>
        <v>7306</v>
      </c>
      <c r="F19" s="40">
        <v>14612</v>
      </c>
    </row>
    <row r="20" spans="1:13" ht="15.75" customHeight="1" x14ac:dyDescent="0.3">
      <c r="A20" s="86"/>
      <c r="B20" s="24"/>
      <c r="C20" s="24"/>
      <c r="D20" s="21"/>
      <c r="E20" s="40"/>
      <c r="F20" s="40"/>
    </row>
    <row r="21" spans="1:13" x14ac:dyDescent="0.3">
      <c r="A21" s="86"/>
      <c r="B21" s="24"/>
      <c r="C21" s="24"/>
      <c r="D21" s="21"/>
      <c r="E21" s="40"/>
      <c r="F21" s="40"/>
    </row>
    <row r="22" spans="1:13" ht="18" customHeight="1" x14ac:dyDescent="0.3">
      <c r="A22" s="121" t="s">
        <v>21</v>
      </c>
      <c r="B22" s="122"/>
      <c r="C22" s="122"/>
      <c r="D22" s="122"/>
      <c r="E22" s="123"/>
      <c r="F22" s="123">
        <f>F18+F19+F20+F21</f>
        <v>27812</v>
      </c>
    </row>
    <row r="23" spans="1:13" ht="45" customHeight="1" x14ac:dyDescent="0.3">
      <c r="A23" s="230" t="s">
        <v>358</v>
      </c>
      <c r="B23" s="230"/>
      <c r="C23" s="230"/>
      <c r="D23" s="230"/>
      <c r="E23" s="230"/>
      <c r="F23" s="230"/>
      <c r="K23" s="34">
        <f>F15+F22</f>
        <v>90903.733999999997</v>
      </c>
      <c r="L23" s="34"/>
      <c r="M23" s="34"/>
    </row>
    <row r="24" spans="1:13" ht="33.75" customHeight="1" x14ac:dyDescent="0.3">
      <c r="A24" s="231" t="s">
        <v>7</v>
      </c>
      <c r="B24" s="231"/>
      <c r="C24" s="231"/>
      <c r="D24" s="231"/>
      <c r="E24" s="231"/>
      <c r="F24" s="231"/>
    </row>
    <row r="25" spans="1:13" x14ac:dyDescent="0.3">
      <c r="A25" s="232" t="s">
        <v>8</v>
      </c>
      <c r="B25" s="232"/>
      <c r="C25" s="232"/>
      <c r="D25" s="232"/>
      <c r="E25" s="232"/>
      <c r="F25" s="232"/>
    </row>
    <row r="26" spans="1:13" ht="32.25" customHeight="1" x14ac:dyDescent="0.3">
      <c r="A26" s="231" t="s">
        <v>9</v>
      </c>
      <c r="B26" s="231"/>
      <c r="C26" s="231"/>
      <c r="D26" s="231"/>
      <c r="E26" s="231"/>
      <c r="F26" s="231"/>
    </row>
    <row r="27" spans="1:13" x14ac:dyDescent="0.3">
      <c r="A27" s="183"/>
      <c r="B27" s="183"/>
      <c r="C27" s="183"/>
      <c r="D27" s="183"/>
      <c r="E27" s="183"/>
      <c r="F27" s="183"/>
    </row>
    <row r="28" spans="1:13" x14ac:dyDescent="0.3">
      <c r="A28" s="4"/>
      <c r="B28" s="4" t="s">
        <v>10</v>
      </c>
      <c r="C28" s="4"/>
      <c r="D28" s="4"/>
      <c r="E28" s="4"/>
      <c r="F28" s="4"/>
    </row>
    <row r="29" spans="1:13" x14ac:dyDescent="0.3">
      <c r="A29" s="4"/>
      <c r="B29" s="4"/>
      <c r="C29" s="4"/>
      <c r="D29" s="4"/>
      <c r="E29" s="4"/>
      <c r="F29" s="4"/>
    </row>
    <row r="30" spans="1:13" x14ac:dyDescent="0.3">
      <c r="A30" s="225" t="s">
        <v>11</v>
      </c>
      <c r="B30" s="225"/>
      <c r="C30" s="225"/>
      <c r="D30" s="225"/>
      <c r="E30" s="225"/>
      <c r="F30" s="225"/>
    </row>
    <row r="31" spans="1:13" x14ac:dyDescent="0.3">
      <c r="A31" s="183"/>
      <c r="B31" s="183"/>
      <c r="C31" s="183"/>
      <c r="D31" s="183"/>
      <c r="E31" s="183"/>
      <c r="F31" s="183"/>
    </row>
    <row r="32" spans="1:13" x14ac:dyDescent="0.3">
      <c r="A32" s="225" t="s">
        <v>54</v>
      </c>
      <c r="B32" s="225"/>
      <c r="C32" s="225"/>
      <c r="D32" s="225"/>
      <c r="E32" s="225"/>
      <c r="F32" s="225"/>
    </row>
    <row r="33" spans="1:6" x14ac:dyDescent="0.3">
      <c r="A33" s="225" t="s">
        <v>281</v>
      </c>
      <c r="B33" s="225"/>
      <c r="C33" s="225"/>
      <c r="D33" s="225"/>
      <c r="E33" s="225"/>
      <c r="F33" s="225"/>
    </row>
    <row r="34" spans="1:6" x14ac:dyDescent="0.3">
      <c r="A34" s="184"/>
    </row>
    <row r="36" spans="1:6" x14ac:dyDescent="0.3">
      <c r="A36" s="184"/>
    </row>
  </sheetData>
  <mergeCells count="20">
    <mergeCell ref="A32:F32"/>
    <mergeCell ref="A33:F33"/>
    <mergeCell ref="A16:F16"/>
    <mergeCell ref="A23:F23"/>
    <mergeCell ref="A24:F24"/>
    <mergeCell ref="A25:F25"/>
    <mergeCell ref="A26:F26"/>
    <mergeCell ref="A30:F30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0" workbookViewId="0">
      <selection activeCell="F18" sqref="A9:F1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40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8"/>
      <c r="E4" s="1" t="s">
        <v>83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ht="110.4" x14ac:dyDescent="0.3">
      <c r="A19" s="7" t="s">
        <v>3</v>
      </c>
      <c r="B19" s="7" t="s">
        <v>24</v>
      </c>
      <c r="C19" s="24" t="s">
        <v>4</v>
      </c>
      <c r="D19" s="21" t="s">
        <v>23</v>
      </c>
      <c r="E19" s="7" t="s">
        <v>5</v>
      </c>
      <c r="F19" s="7" t="s">
        <v>6</v>
      </c>
    </row>
    <row r="20" spans="1:6" ht="43.2" x14ac:dyDescent="0.3">
      <c r="A20" s="22" t="s">
        <v>84</v>
      </c>
      <c r="B20" s="5" t="s">
        <v>85</v>
      </c>
      <c r="C20" s="5" t="s">
        <v>86</v>
      </c>
      <c r="D20" s="23">
        <v>30.24</v>
      </c>
      <c r="E20" s="30">
        <f>F20/D20</f>
        <v>162.26851851851853</v>
      </c>
      <c r="F20" s="5">
        <v>4907</v>
      </c>
    </row>
    <row r="21" spans="1:6" ht="43.2" x14ac:dyDescent="0.3">
      <c r="A21" s="22" t="s">
        <v>87</v>
      </c>
      <c r="B21" s="5" t="s">
        <v>85</v>
      </c>
      <c r="C21" s="5" t="s">
        <v>27</v>
      </c>
      <c r="D21" s="23">
        <v>4</v>
      </c>
      <c r="E21" s="30">
        <f>F21/D21</f>
        <v>129.5</v>
      </c>
      <c r="F21" s="5">
        <v>518</v>
      </c>
    </row>
    <row r="22" spans="1:6" x14ac:dyDescent="0.3">
      <c r="A22" s="22" t="s">
        <v>21</v>
      </c>
      <c r="B22" s="5"/>
      <c r="C22" s="5"/>
      <c r="D22" s="5"/>
      <c r="E22" s="6"/>
      <c r="F22" s="30">
        <f>F20+F21</f>
        <v>5425</v>
      </c>
    </row>
    <row r="23" spans="1:6" ht="16.5" customHeight="1" x14ac:dyDescent="0.25">
      <c r="A23" s="22"/>
      <c r="B23" s="5"/>
      <c r="C23" s="5"/>
      <c r="D23" s="5"/>
      <c r="E23" s="6"/>
      <c r="F23" s="5"/>
    </row>
    <row r="24" spans="1:6" ht="43.5" customHeight="1" x14ac:dyDescent="0.3">
      <c r="A24" s="230" t="s">
        <v>96</v>
      </c>
      <c r="B24" s="230"/>
      <c r="C24" s="230"/>
      <c r="D24" s="230"/>
      <c r="E24" s="230"/>
      <c r="F24" s="230"/>
    </row>
    <row r="25" spans="1:6" ht="28.5" customHeight="1" x14ac:dyDescent="0.3">
      <c r="A25" s="231" t="s">
        <v>7</v>
      </c>
      <c r="B25" s="231"/>
      <c r="C25" s="231"/>
      <c r="D25" s="231"/>
      <c r="E25" s="231"/>
      <c r="F25" s="231"/>
    </row>
    <row r="26" spans="1:6" ht="18.75" customHeight="1" x14ac:dyDescent="0.3">
      <c r="A26" s="232" t="s">
        <v>8</v>
      </c>
      <c r="B26" s="232"/>
      <c r="C26" s="232"/>
      <c r="D26" s="232"/>
      <c r="E26" s="232"/>
      <c r="F26" s="232"/>
    </row>
    <row r="27" spans="1:6" ht="29.25" customHeight="1" x14ac:dyDescent="0.3">
      <c r="A27" s="231" t="s">
        <v>9</v>
      </c>
      <c r="B27" s="231"/>
      <c r="C27" s="231"/>
      <c r="D27" s="231"/>
      <c r="E27" s="231"/>
      <c r="F27" s="231"/>
    </row>
    <row r="28" spans="1:6" ht="15.75" customHeight="1" x14ac:dyDescent="0.3">
      <c r="A28" s="37"/>
      <c r="B28" s="37"/>
      <c r="C28" s="37"/>
      <c r="D28" s="37"/>
      <c r="E28" s="37"/>
      <c r="F28" s="37"/>
    </row>
    <row r="29" spans="1:6" x14ac:dyDescent="0.3">
      <c r="A29" s="4"/>
      <c r="B29" s="4" t="s">
        <v>10</v>
      </c>
      <c r="C29" s="4"/>
      <c r="D29" s="4"/>
      <c r="E29" s="4"/>
      <c r="F29" s="4"/>
    </row>
    <row r="30" spans="1:6" x14ac:dyDescent="0.3">
      <c r="A30" s="4"/>
      <c r="B30" s="4"/>
      <c r="C30" s="4"/>
      <c r="D30" s="4"/>
      <c r="E30" s="4"/>
      <c r="F30" s="4"/>
    </row>
    <row r="31" spans="1:6" x14ac:dyDescent="0.3">
      <c r="A31" s="225" t="s">
        <v>11</v>
      </c>
      <c r="B31" s="225"/>
      <c r="C31" s="225"/>
      <c r="D31" s="225"/>
      <c r="E31" s="225"/>
      <c r="F31" s="225"/>
    </row>
    <row r="32" spans="1:6" x14ac:dyDescent="0.3">
      <c r="A32" s="37"/>
      <c r="B32" s="37"/>
      <c r="C32" s="37"/>
      <c r="D32" s="37"/>
      <c r="E32" s="37"/>
      <c r="F32" s="37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x14ac:dyDescent="0.3">
      <c r="A35" s="38"/>
    </row>
    <row r="37" spans="1:6" x14ac:dyDescent="0.3">
      <c r="A37" s="38"/>
    </row>
  </sheetData>
  <mergeCells count="22"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A34:F34"/>
    <mergeCell ref="A33:F33"/>
    <mergeCell ref="C13:D13"/>
    <mergeCell ref="C14:D14"/>
    <mergeCell ref="C15:D15"/>
    <mergeCell ref="A25:F25"/>
    <mergeCell ref="A26:F26"/>
    <mergeCell ref="C16:D16"/>
    <mergeCell ref="A24:F24"/>
    <mergeCell ref="A31:F31"/>
    <mergeCell ref="A27:F27"/>
    <mergeCell ref="C17:D17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8" workbookViewId="0">
      <selection activeCell="A18" sqref="A18:F2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87"/>
      <c r="E4" s="1" t="s">
        <v>359</v>
      </c>
      <c r="F4" s="1"/>
    </row>
    <row r="6" spans="1:9" ht="164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88">
        <v>2.27</v>
      </c>
      <c r="F10" s="188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186"/>
      <c r="C15" s="186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31.5" customHeight="1" x14ac:dyDescent="0.3">
      <c r="A18" s="86" t="s">
        <v>360</v>
      </c>
      <c r="B18" s="24" t="s">
        <v>361</v>
      </c>
      <c r="C18" s="24" t="s">
        <v>47</v>
      </c>
      <c r="D18" s="24">
        <v>1</v>
      </c>
      <c r="E18" s="40">
        <f t="shared" ref="E18:E24" si="1">F18/D18</f>
        <v>13200</v>
      </c>
      <c r="F18" s="40">
        <v>13200</v>
      </c>
    </row>
    <row r="19" spans="1:13" ht="72" x14ac:dyDescent="0.3">
      <c r="A19" s="86" t="s">
        <v>362</v>
      </c>
      <c r="B19" s="24" t="s">
        <v>361</v>
      </c>
      <c r="C19" s="24" t="s">
        <v>47</v>
      </c>
      <c r="D19" s="21">
        <v>2</v>
      </c>
      <c r="E19" s="40">
        <f t="shared" si="1"/>
        <v>4138.5</v>
      </c>
      <c r="F19" s="40">
        <v>8277</v>
      </c>
    </row>
    <row r="20" spans="1:13" ht="59.25" customHeight="1" x14ac:dyDescent="0.3">
      <c r="A20" s="86" t="s">
        <v>363</v>
      </c>
      <c r="B20" s="24" t="s">
        <v>361</v>
      </c>
      <c r="C20" s="24" t="s">
        <v>27</v>
      </c>
      <c r="D20" s="21">
        <v>6.15</v>
      </c>
      <c r="E20" s="40">
        <f t="shared" si="1"/>
        <v>2004.8780487804877</v>
      </c>
      <c r="F20" s="40">
        <v>12330</v>
      </c>
    </row>
    <row r="21" spans="1:13" ht="59.25" customHeight="1" x14ac:dyDescent="0.3">
      <c r="A21" s="86" t="s">
        <v>364</v>
      </c>
      <c r="B21" s="24" t="s">
        <v>361</v>
      </c>
      <c r="C21" s="24" t="s">
        <v>27</v>
      </c>
      <c r="D21" s="21">
        <v>3</v>
      </c>
      <c r="E21" s="40">
        <f t="shared" si="1"/>
        <v>1181.6666666666667</v>
      </c>
      <c r="F21" s="40">
        <v>3545</v>
      </c>
    </row>
    <row r="22" spans="1:13" ht="47.25" customHeight="1" x14ac:dyDescent="0.3">
      <c r="A22" s="86" t="s">
        <v>365</v>
      </c>
      <c r="B22" s="24" t="s">
        <v>361</v>
      </c>
      <c r="C22" s="24" t="s">
        <v>366</v>
      </c>
      <c r="D22" s="21">
        <v>25</v>
      </c>
      <c r="E22" s="40">
        <f t="shared" si="1"/>
        <v>374</v>
      </c>
      <c r="F22" s="40">
        <v>9350</v>
      </c>
    </row>
    <row r="23" spans="1:13" ht="31.5" customHeight="1" x14ac:dyDescent="0.3">
      <c r="A23" s="86" t="s">
        <v>367</v>
      </c>
      <c r="B23" s="24" t="s">
        <v>361</v>
      </c>
      <c r="C23" s="24" t="s">
        <v>28</v>
      </c>
      <c r="D23" s="21">
        <v>1.58</v>
      </c>
      <c r="E23" s="40">
        <f t="shared" si="1"/>
        <v>2200</v>
      </c>
      <c r="F23" s="40">
        <v>3476</v>
      </c>
    </row>
    <row r="24" spans="1:13" ht="140.25" customHeight="1" x14ac:dyDescent="0.3">
      <c r="A24" s="86" t="s">
        <v>368</v>
      </c>
      <c r="B24" s="24" t="s">
        <v>361</v>
      </c>
      <c r="C24" s="24" t="s">
        <v>47</v>
      </c>
      <c r="D24" s="21">
        <v>7</v>
      </c>
      <c r="E24" s="40">
        <f t="shared" si="1"/>
        <v>3301.4285714285716</v>
      </c>
      <c r="F24" s="40">
        <v>23110</v>
      </c>
    </row>
    <row r="25" spans="1:13" ht="18" customHeight="1" x14ac:dyDescent="0.3">
      <c r="A25" s="121" t="s">
        <v>21</v>
      </c>
      <c r="B25" s="122"/>
      <c r="C25" s="122"/>
      <c r="D25" s="122"/>
      <c r="E25" s="123"/>
      <c r="F25" s="123">
        <f>F18+F19+F20+F21+F22+F23+F24</f>
        <v>73288</v>
      </c>
    </row>
    <row r="26" spans="1:13" ht="57.75" customHeight="1" x14ac:dyDescent="0.3">
      <c r="A26" s="230" t="s">
        <v>376</v>
      </c>
      <c r="B26" s="230"/>
      <c r="C26" s="230"/>
      <c r="D26" s="230"/>
      <c r="E26" s="230"/>
      <c r="F26" s="230"/>
      <c r="K26" s="34">
        <f>F15+F25</f>
        <v>136379.734</v>
      </c>
      <c r="L26" s="34"/>
      <c r="M26" s="34"/>
    </row>
    <row r="27" spans="1:13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3" x14ac:dyDescent="0.3">
      <c r="A28" s="232" t="s">
        <v>8</v>
      </c>
      <c r="B28" s="232"/>
      <c r="C28" s="232"/>
      <c r="D28" s="232"/>
      <c r="E28" s="232"/>
      <c r="F28" s="232"/>
    </row>
    <row r="29" spans="1:13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3" x14ac:dyDescent="0.3">
      <c r="A30" s="4"/>
      <c r="B30" s="4" t="s">
        <v>10</v>
      </c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225" t="s">
        <v>54</v>
      </c>
      <c r="B32" s="225"/>
      <c r="C32" s="225"/>
      <c r="D32" s="225"/>
      <c r="E32" s="225"/>
      <c r="F32" s="225"/>
    </row>
    <row r="33" spans="1:6" x14ac:dyDescent="0.3">
      <c r="A33" s="225" t="s">
        <v>281</v>
      </c>
      <c r="B33" s="225"/>
      <c r="C33" s="225"/>
      <c r="D33" s="225"/>
      <c r="E33" s="225"/>
      <c r="F33" s="225"/>
    </row>
    <row r="34" spans="1:6" x14ac:dyDescent="0.3">
      <c r="A34" s="187"/>
    </row>
    <row r="36" spans="1:6" x14ac:dyDescent="0.3">
      <c r="A36" s="187"/>
    </row>
  </sheetData>
  <mergeCells count="20">
    <mergeCell ref="A32:F32"/>
    <mergeCell ref="A33:F33"/>
    <mergeCell ref="A16:F16"/>
    <mergeCell ref="A26:F26"/>
    <mergeCell ref="A27:F27"/>
    <mergeCell ref="A28:F28"/>
    <mergeCell ref="A29:F29"/>
    <mergeCell ref="A31:F31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7" workbookViewId="0">
      <selection activeCell="A18" sqref="A18:F1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90"/>
      <c r="E4" s="1" t="s">
        <v>369</v>
      </c>
      <c r="F4" s="1"/>
    </row>
    <row r="6" spans="1:9" ht="164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91">
        <v>2.27</v>
      </c>
      <c r="F10" s="191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189"/>
      <c r="C15" s="189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31.5" customHeight="1" x14ac:dyDescent="0.3">
      <c r="A18" s="86" t="s">
        <v>370</v>
      </c>
      <c r="B18" s="24" t="s">
        <v>371</v>
      </c>
      <c r="C18" s="24" t="s">
        <v>27</v>
      </c>
      <c r="D18" s="24">
        <v>12</v>
      </c>
      <c r="E18" s="40">
        <f>F18/D18</f>
        <v>1410</v>
      </c>
      <c r="F18" s="40">
        <v>16920</v>
      </c>
    </row>
    <row r="19" spans="1:13" x14ac:dyDescent="0.3">
      <c r="A19" s="86"/>
      <c r="B19" s="24"/>
      <c r="C19" s="24"/>
      <c r="D19" s="21"/>
      <c r="E19" s="40"/>
      <c r="F19" s="40"/>
    </row>
    <row r="20" spans="1:13" ht="16.5" customHeight="1" x14ac:dyDescent="0.3">
      <c r="A20" s="86"/>
      <c r="B20" s="24"/>
      <c r="C20" s="24"/>
      <c r="D20" s="21"/>
      <c r="E20" s="40"/>
      <c r="F20" s="40"/>
    </row>
    <row r="21" spans="1:13" ht="17.25" customHeight="1" x14ac:dyDescent="0.3">
      <c r="A21" s="86"/>
      <c r="B21" s="24"/>
      <c r="C21" s="24"/>
      <c r="D21" s="21"/>
      <c r="E21" s="40"/>
      <c r="F21" s="40"/>
    </row>
    <row r="22" spans="1:13" ht="17.25" customHeight="1" x14ac:dyDescent="0.3">
      <c r="A22" s="86"/>
      <c r="B22" s="24"/>
      <c r="C22" s="24"/>
      <c r="D22" s="21"/>
      <c r="E22" s="40"/>
      <c r="F22" s="40"/>
    </row>
    <row r="23" spans="1:13" ht="15.75" customHeight="1" x14ac:dyDescent="0.3">
      <c r="A23" s="86"/>
      <c r="B23" s="24"/>
      <c r="C23" s="24"/>
      <c r="D23" s="21"/>
      <c r="E23" s="40"/>
      <c r="F23" s="40"/>
    </row>
    <row r="24" spans="1:13" ht="17.25" customHeight="1" x14ac:dyDescent="0.3">
      <c r="A24" s="86"/>
      <c r="B24" s="24"/>
      <c r="C24" s="24"/>
      <c r="D24" s="21"/>
      <c r="E24" s="40"/>
      <c r="F24" s="40"/>
    </row>
    <row r="25" spans="1:13" ht="18" customHeight="1" x14ac:dyDescent="0.3">
      <c r="A25" s="121" t="s">
        <v>21</v>
      </c>
      <c r="B25" s="122"/>
      <c r="C25" s="122"/>
      <c r="D25" s="122"/>
      <c r="E25" s="123"/>
      <c r="F25" s="123">
        <f>F18+F19+F20+F21+F22+F23+F24</f>
        <v>16920</v>
      </c>
    </row>
    <row r="26" spans="1:13" ht="45" customHeight="1" x14ac:dyDescent="0.3">
      <c r="A26" s="230" t="s">
        <v>372</v>
      </c>
      <c r="B26" s="230"/>
      <c r="C26" s="230"/>
      <c r="D26" s="230"/>
      <c r="E26" s="230"/>
      <c r="F26" s="230"/>
      <c r="K26" s="34">
        <f>F15+F25</f>
        <v>80011.733999999997</v>
      </c>
      <c r="L26" s="34"/>
      <c r="M26" s="34"/>
    </row>
    <row r="27" spans="1:13" ht="33.75" customHeight="1" x14ac:dyDescent="0.3">
      <c r="A27" s="231" t="s">
        <v>7</v>
      </c>
      <c r="B27" s="231"/>
      <c r="C27" s="231"/>
      <c r="D27" s="231"/>
      <c r="E27" s="231"/>
      <c r="F27" s="231"/>
    </row>
    <row r="28" spans="1:13" x14ac:dyDescent="0.3">
      <c r="A28" s="232" t="s">
        <v>8</v>
      </c>
      <c r="B28" s="232"/>
      <c r="C28" s="232"/>
      <c r="D28" s="232"/>
      <c r="E28" s="232"/>
      <c r="F28" s="232"/>
    </row>
    <row r="29" spans="1:13" ht="32.25" customHeight="1" x14ac:dyDescent="0.3">
      <c r="A29" s="231" t="s">
        <v>9</v>
      </c>
      <c r="B29" s="231"/>
      <c r="C29" s="231"/>
      <c r="D29" s="231"/>
      <c r="E29" s="231"/>
      <c r="F29" s="231"/>
    </row>
    <row r="30" spans="1:13" x14ac:dyDescent="0.3">
      <c r="A30" s="4"/>
      <c r="B30" s="4" t="s">
        <v>10</v>
      </c>
      <c r="C30" s="4"/>
      <c r="D30" s="4"/>
      <c r="E30" s="4"/>
      <c r="F30" s="4"/>
    </row>
    <row r="31" spans="1:13" x14ac:dyDescent="0.3">
      <c r="A31" s="225" t="s">
        <v>11</v>
      </c>
      <c r="B31" s="225"/>
      <c r="C31" s="225"/>
      <c r="D31" s="225"/>
      <c r="E31" s="225"/>
      <c r="F31" s="225"/>
    </row>
    <row r="32" spans="1:13" x14ac:dyDescent="0.3">
      <c r="A32" s="225" t="s">
        <v>54</v>
      </c>
      <c r="B32" s="225"/>
      <c r="C32" s="225"/>
      <c r="D32" s="225"/>
      <c r="E32" s="225"/>
      <c r="F32" s="225"/>
    </row>
    <row r="33" spans="1:6" x14ac:dyDescent="0.3">
      <c r="A33" s="225" t="s">
        <v>281</v>
      </c>
      <c r="B33" s="225"/>
      <c r="C33" s="225"/>
      <c r="D33" s="225"/>
      <c r="E33" s="225"/>
      <c r="F33" s="225"/>
    </row>
    <row r="34" spans="1:6" x14ac:dyDescent="0.3">
      <c r="A34" s="190"/>
    </row>
    <row r="36" spans="1:6" x14ac:dyDescent="0.3">
      <c r="A36" s="190"/>
    </row>
  </sheetData>
  <mergeCells count="20">
    <mergeCell ref="A32:F32"/>
    <mergeCell ref="A33:F33"/>
    <mergeCell ref="A16:F16"/>
    <mergeCell ref="A26:F26"/>
    <mergeCell ref="A27:F27"/>
    <mergeCell ref="A28:F28"/>
    <mergeCell ref="A29:F29"/>
    <mergeCell ref="A31:F31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0" workbookViewId="0">
      <selection activeCell="A15" sqref="A15:F1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35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92"/>
      <c r="E4" s="1" t="s">
        <v>373</v>
      </c>
      <c r="F4" s="1"/>
    </row>
    <row r="6" spans="1:9" ht="164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94">
        <v>2.27</v>
      </c>
      <c r="F10" s="194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ht="74.25" customHeight="1" x14ac:dyDescent="0.3">
      <c r="A15" s="8" t="s">
        <v>341</v>
      </c>
      <c r="B15" s="234" t="s">
        <v>382</v>
      </c>
      <c r="C15" s="245" t="s">
        <v>344</v>
      </c>
      <c r="D15" s="246"/>
      <c r="E15" s="249" t="s">
        <v>383</v>
      </c>
      <c r="F15" s="251">
        <v>0</v>
      </c>
    </row>
    <row r="16" spans="1:9" ht="61.5" customHeight="1" x14ac:dyDescent="0.3">
      <c r="A16" s="8" t="s">
        <v>345</v>
      </c>
      <c r="B16" s="235"/>
      <c r="C16" s="247"/>
      <c r="D16" s="248"/>
      <c r="E16" s="250"/>
      <c r="F16" s="252"/>
    </row>
    <row r="17" spans="1:13" x14ac:dyDescent="0.3">
      <c r="A17" s="117" t="s">
        <v>20</v>
      </c>
      <c r="B17" s="193"/>
      <c r="C17" s="193" t="s">
        <v>340</v>
      </c>
      <c r="D17" s="118"/>
      <c r="E17" s="119"/>
      <c r="F17" s="165">
        <f>F9+F10+F11+F12+F13+F14</f>
        <v>63091.734000000004</v>
      </c>
    </row>
    <row r="18" spans="1:13" ht="45.75" customHeight="1" x14ac:dyDescent="0.3">
      <c r="A18" s="229" t="s">
        <v>17</v>
      </c>
      <c r="B18" s="229"/>
      <c r="C18" s="229"/>
      <c r="D18" s="229"/>
      <c r="E18" s="229"/>
      <c r="F18" s="229"/>
    </row>
    <row r="19" spans="1:13" ht="110.4" x14ac:dyDescent="0.3">
      <c r="A19" s="7" t="s">
        <v>3</v>
      </c>
      <c r="B19" s="7" t="s">
        <v>24</v>
      </c>
      <c r="C19" s="24" t="s">
        <v>4</v>
      </c>
      <c r="D19" s="21" t="s">
        <v>23</v>
      </c>
      <c r="E19" s="7" t="s">
        <v>5</v>
      </c>
      <c r="F19" s="7" t="s">
        <v>6</v>
      </c>
    </row>
    <row r="20" spans="1:13" ht="42" customHeight="1" x14ac:dyDescent="0.3">
      <c r="A20" s="86" t="s">
        <v>375</v>
      </c>
      <c r="B20" s="24" t="s">
        <v>374</v>
      </c>
      <c r="C20" s="24" t="s">
        <v>47</v>
      </c>
      <c r="D20" s="24">
        <v>1</v>
      </c>
      <c r="E20" s="40">
        <f>F20/D20</f>
        <v>660</v>
      </c>
      <c r="F20" s="40">
        <v>660</v>
      </c>
    </row>
    <row r="21" spans="1:13" ht="59.25" customHeight="1" x14ac:dyDescent="0.3">
      <c r="A21" s="86" t="s">
        <v>377</v>
      </c>
      <c r="B21" s="24" t="s">
        <v>374</v>
      </c>
      <c r="C21" s="24" t="s">
        <v>366</v>
      </c>
      <c r="D21" s="21">
        <v>3</v>
      </c>
      <c r="E21" s="40">
        <f>F21/D21</f>
        <v>3730.3333333333335</v>
      </c>
      <c r="F21" s="40">
        <v>11191</v>
      </c>
    </row>
    <row r="22" spans="1:13" ht="18" customHeight="1" x14ac:dyDescent="0.3">
      <c r="A22" s="200"/>
      <c r="B22" s="24"/>
      <c r="C22" s="24"/>
      <c r="D22" s="21"/>
      <c r="E22" s="40"/>
      <c r="F22" s="40"/>
    </row>
    <row r="23" spans="1:13" ht="16.5" customHeight="1" x14ac:dyDescent="0.3">
      <c r="A23" s="86"/>
      <c r="B23" s="24"/>
      <c r="C23" s="24"/>
      <c r="D23" s="21"/>
      <c r="E23" s="40"/>
      <c r="F23" s="40"/>
      <c r="K23" s="34">
        <f>F17+F24</f>
        <v>74942.733999999997</v>
      </c>
      <c r="L23" s="34"/>
      <c r="M23" s="34"/>
    </row>
    <row r="24" spans="1:13" ht="18.75" customHeight="1" x14ac:dyDescent="0.3">
      <c r="A24" s="121" t="s">
        <v>21</v>
      </c>
      <c r="B24" s="122"/>
      <c r="C24" s="122"/>
      <c r="D24" s="122"/>
      <c r="E24" s="123"/>
      <c r="F24" s="123">
        <f>F20+F21</f>
        <v>11851</v>
      </c>
    </row>
    <row r="25" spans="1:13" ht="45" customHeight="1" x14ac:dyDescent="0.3">
      <c r="A25" s="230" t="s">
        <v>384</v>
      </c>
      <c r="B25" s="230"/>
      <c r="C25" s="230"/>
      <c r="D25" s="230"/>
      <c r="E25" s="230"/>
      <c r="F25" s="230"/>
    </row>
    <row r="26" spans="1:13" ht="32.25" customHeight="1" x14ac:dyDescent="0.3">
      <c r="A26" s="231" t="s">
        <v>7</v>
      </c>
      <c r="B26" s="231"/>
      <c r="C26" s="231"/>
      <c r="D26" s="231"/>
      <c r="E26" s="231"/>
      <c r="F26" s="231"/>
    </row>
    <row r="27" spans="1:13" x14ac:dyDescent="0.3">
      <c r="A27" s="232" t="s">
        <v>8</v>
      </c>
      <c r="B27" s="232"/>
      <c r="C27" s="232"/>
      <c r="D27" s="232"/>
      <c r="E27" s="232"/>
      <c r="F27" s="232"/>
    </row>
    <row r="28" spans="1:13" ht="27.75" customHeight="1" x14ac:dyDescent="0.3">
      <c r="A28" s="231" t="s">
        <v>9</v>
      </c>
      <c r="B28" s="231"/>
      <c r="C28" s="231"/>
      <c r="D28" s="231"/>
      <c r="E28" s="231"/>
      <c r="F28" s="231"/>
    </row>
    <row r="29" spans="1:13" x14ac:dyDescent="0.3">
      <c r="A29" s="4"/>
      <c r="B29" s="4" t="s">
        <v>10</v>
      </c>
      <c r="C29" s="4"/>
      <c r="D29" s="4"/>
      <c r="E29" s="4"/>
      <c r="F29" s="4"/>
    </row>
    <row r="30" spans="1:13" x14ac:dyDescent="0.3">
      <c r="A30" s="225" t="s">
        <v>11</v>
      </c>
      <c r="B30" s="225"/>
      <c r="C30" s="225"/>
      <c r="D30" s="225"/>
      <c r="E30" s="225"/>
      <c r="F30" s="225"/>
    </row>
    <row r="31" spans="1:13" x14ac:dyDescent="0.3">
      <c r="A31" s="195"/>
      <c r="B31" s="195"/>
      <c r="C31" s="195"/>
      <c r="D31" s="195"/>
      <c r="E31" s="195"/>
      <c r="F31" s="195"/>
    </row>
    <row r="32" spans="1:13" x14ac:dyDescent="0.3">
      <c r="A32" s="225" t="s">
        <v>54</v>
      </c>
      <c r="B32" s="225"/>
      <c r="C32" s="225"/>
      <c r="D32" s="225"/>
      <c r="E32" s="225"/>
      <c r="F32" s="225"/>
    </row>
    <row r="33" spans="1:6" x14ac:dyDescent="0.3">
      <c r="A33" s="225" t="s">
        <v>281</v>
      </c>
      <c r="B33" s="225"/>
      <c r="C33" s="225"/>
      <c r="D33" s="225"/>
      <c r="E33" s="225"/>
      <c r="F33" s="225"/>
    </row>
    <row r="34" spans="1:6" x14ac:dyDescent="0.3">
      <c r="A34" s="192"/>
    </row>
    <row r="36" spans="1:6" x14ac:dyDescent="0.3">
      <c r="A36" s="192"/>
    </row>
  </sheetData>
  <mergeCells count="24"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2:F32"/>
    <mergeCell ref="A33:F33"/>
    <mergeCell ref="A18:F18"/>
    <mergeCell ref="A25:F25"/>
    <mergeCell ref="A26:F26"/>
    <mergeCell ref="A27:F27"/>
    <mergeCell ref="A28:F28"/>
    <mergeCell ref="A30:F30"/>
    <mergeCell ref="B15:B16"/>
    <mergeCell ref="C15:D16"/>
    <mergeCell ref="E15:E16"/>
    <mergeCell ref="F15:F16"/>
    <mergeCell ref="C14:D1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7" workbookViewId="0">
      <selection activeCell="F14" sqref="F1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34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198"/>
      <c r="E4" s="1" t="s">
        <v>378</v>
      </c>
      <c r="F4" s="1"/>
    </row>
    <row r="6" spans="1:9" ht="164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E9*4608.6-413.43</f>
        <v>17698.368000000002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199">
        <v>2.27</v>
      </c>
      <c r="F10" s="199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197"/>
      <c r="C15" s="197" t="s">
        <v>340</v>
      </c>
      <c r="D15" s="118"/>
      <c r="E15" s="119"/>
      <c r="F15" s="165">
        <f>F9+F10+F11+F12+F13+F14</f>
        <v>62678.304000000011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28.5" customHeight="1" x14ac:dyDescent="0.3">
      <c r="A18" s="86" t="s">
        <v>379</v>
      </c>
      <c r="B18" s="24" t="s">
        <v>380</v>
      </c>
      <c r="C18" s="24" t="s">
        <v>27</v>
      </c>
      <c r="D18" s="24">
        <v>3</v>
      </c>
      <c r="E18" s="40">
        <f>F18/D18</f>
        <v>1682</v>
      </c>
      <c r="F18" s="40">
        <v>5046</v>
      </c>
    </row>
    <row r="19" spans="1:13" ht="43.2" x14ac:dyDescent="0.3">
      <c r="A19" s="86" t="s">
        <v>381</v>
      </c>
      <c r="B19" s="24" t="s">
        <v>380</v>
      </c>
      <c r="C19" s="24" t="s">
        <v>47</v>
      </c>
      <c r="D19" s="21">
        <v>1</v>
      </c>
      <c r="E19" s="40">
        <f>F19/D19</f>
        <v>1575</v>
      </c>
      <c r="F19" s="40">
        <v>1575</v>
      </c>
    </row>
    <row r="20" spans="1:13" ht="18.75" customHeight="1" x14ac:dyDescent="0.3">
      <c r="A20" s="200"/>
      <c r="B20" s="24"/>
      <c r="C20" s="24"/>
      <c r="D20" s="21"/>
      <c r="E20" s="40"/>
      <c r="F20" s="40"/>
    </row>
    <row r="21" spans="1:13" ht="17.25" customHeight="1" x14ac:dyDescent="0.3">
      <c r="A21" s="86"/>
      <c r="B21" s="24"/>
      <c r="C21" s="24"/>
      <c r="D21" s="21"/>
      <c r="E21" s="40"/>
      <c r="F21" s="40"/>
    </row>
    <row r="22" spans="1:13" ht="18" customHeight="1" x14ac:dyDescent="0.3">
      <c r="A22" s="121" t="s">
        <v>21</v>
      </c>
      <c r="B22" s="122"/>
      <c r="C22" s="122"/>
      <c r="D22" s="122"/>
      <c r="E22" s="123"/>
      <c r="F22" s="123">
        <f>F18+F19</f>
        <v>6621</v>
      </c>
    </row>
    <row r="23" spans="1:13" ht="45" customHeight="1" x14ac:dyDescent="0.3">
      <c r="A23" s="230" t="s">
        <v>390</v>
      </c>
      <c r="B23" s="230"/>
      <c r="C23" s="230"/>
      <c r="D23" s="230"/>
      <c r="E23" s="230"/>
      <c r="F23" s="230"/>
      <c r="K23" s="34">
        <f>F15+F22</f>
        <v>69299.304000000004</v>
      </c>
      <c r="L23" s="34"/>
      <c r="M23" s="34"/>
    </row>
    <row r="24" spans="1:13" ht="33.75" customHeight="1" x14ac:dyDescent="0.3">
      <c r="A24" s="231" t="s">
        <v>7</v>
      </c>
      <c r="B24" s="231"/>
      <c r="C24" s="231"/>
      <c r="D24" s="231"/>
      <c r="E24" s="231"/>
      <c r="F24" s="231"/>
    </row>
    <row r="25" spans="1:13" x14ac:dyDescent="0.3">
      <c r="A25" s="232" t="s">
        <v>8</v>
      </c>
      <c r="B25" s="232"/>
      <c r="C25" s="232"/>
      <c r="D25" s="232"/>
      <c r="E25" s="232"/>
      <c r="F25" s="232"/>
    </row>
    <row r="26" spans="1:13" ht="32.25" customHeight="1" x14ac:dyDescent="0.3">
      <c r="A26" s="231" t="s">
        <v>9</v>
      </c>
      <c r="B26" s="231"/>
      <c r="C26" s="231"/>
      <c r="D26" s="231"/>
      <c r="E26" s="231"/>
      <c r="F26" s="231"/>
    </row>
    <row r="27" spans="1:13" x14ac:dyDescent="0.3">
      <c r="A27" s="4"/>
      <c r="B27" s="4" t="s">
        <v>10</v>
      </c>
      <c r="C27" s="4"/>
      <c r="D27" s="4"/>
      <c r="E27" s="4"/>
      <c r="F27" s="4"/>
    </row>
    <row r="28" spans="1:13" x14ac:dyDescent="0.3">
      <c r="A28" s="225" t="s">
        <v>11</v>
      </c>
      <c r="B28" s="225"/>
      <c r="C28" s="225"/>
      <c r="D28" s="225"/>
      <c r="E28" s="225"/>
      <c r="F28" s="225"/>
    </row>
    <row r="29" spans="1:13" x14ac:dyDescent="0.3">
      <c r="A29" s="196"/>
      <c r="B29" s="196"/>
      <c r="C29" s="196"/>
      <c r="D29" s="196"/>
      <c r="E29" s="196"/>
      <c r="F29" s="196"/>
    </row>
    <row r="30" spans="1:13" x14ac:dyDescent="0.3">
      <c r="A30" s="225" t="s">
        <v>54</v>
      </c>
      <c r="B30" s="225"/>
      <c r="C30" s="225"/>
      <c r="D30" s="225"/>
      <c r="E30" s="225"/>
      <c r="F30" s="225"/>
    </row>
    <row r="31" spans="1:13" x14ac:dyDescent="0.3">
      <c r="A31" s="225" t="s">
        <v>281</v>
      </c>
      <c r="B31" s="225"/>
      <c r="C31" s="225"/>
      <c r="D31" s="225"/>
      <c r="E31" s="225"/>
      <c r="F31" s="225"/>
    </row>
    <row r="32" spans="1:13" x14ac:dyDescent="0.3">
      <c r="A32" s="198"/>
    </row>
    <row r="34" spans="1:1" x14ac:dyDescent="0.3">
      <c r="A34" s="198"/>
    </row>
  </sheetData>
  <mergeCells count="20">
    <mergeCell ref="A30:F30"/>
    <mergeCell ref="A31:F31"/>
    <mergeCell ref="A16:F16"/>
    <mergeCell ref="A23:F23"/>
    <mergeCell ref="A24:F24"/>
    <mergeCell ref="A25:F25"/>
    <mergeCell ref="A26:F26"/>
    <mergeCell ref="A28:F28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L1" sqref="L1:L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9.5546875" hidden="1" customWidth="1"/>
    <col min="13" max="13" width="9.5546875" bestFit="1" customWidth="1"/>
  </cols>
  <sheetData>
    <row r="1" spans="1:12" x14ac:dyDescent="0.3">
      <c r="A1" s="219" t="s">
        <v>385</v>
      </c>
      <c r="B1" s="219"/>
      <c r="C1" s="219"/>
      <c r="D1" s="219"/>
      <c r="E1" s="219"/>
      <c r="F1" s="219"/>
      <c r="G1" s="219"/>
      <c r="H1" s="219"/>
      <c r="I1" s="219"/>
    </row>
    <row r="2" spans="1:12" ht="33" customHeight="1" x14ac:dyDescent="0.3">
      <c r="A2" s="220" t="s">
        <v>207</v>
      </c>
      <c r="B2" s="220"/>
      <c r="C2" s="220"/>
      <c r="D2" s="220"/>
      <c r="E2" s="220"/>
      <c r="F2" s="220"/>
      <c r="G2" s="220"/>
      <c r="H2" s="220"/>
      <c r="I2" s="220"/>
    </row>
    <row r="4" spans="1:12" ht="110.25" customHeight="1" x14ac:dyDescent="0.3">
      <c r="A4" s="7" t="s">
        <v>3</v>
      </c>
      <c r="B4" s="7" t="s">
        <v>24</v>
      </c>
      <c r="C4" s="223" t="s">
        <v>4</v>
      </c>
      <c r="D4" s="224"/>
      <c r="E4" s="7" t="s">
        <v>5</v>
      </c>
      <c r="F4" s="7" t="s">
        <v>6</v>
      </c>
    </row>
    <row r="5" spans="1:12" ht="15" customHeight="1" x14ac:dyDescent="0.3">
      <c r="A5" s="226" t="s">
        <v>289</v>
      </c>
      <c r="B5" s="227"/>
      <c r="C5" s="227"/>
      <c r="D5" s="227"/>
      <c r="E5" s="227"/>
      <c r="F5" s="228"/>
    </row>
    <row r="6" spans="1:12" ht="136.5" customHeight="1" x14ac:dyDescent="0.3">
      <c r="A6" s="8" t="s">
        <v>67</v>
      </c>
      <c r="B6" s="9" t="s">
        <v>12</v>
      </c>
      <c r="C6" s="217" t="s">
        <v>13</v>
      </c>
      <c r="D6" s="218"/>
      <c r="E6" s="10">
        <v>3.93</v>
      </c>
      <c r="F6" s="10">
        <f>'янв 2020'!F9+'февр 2020'!F9+'март 2020'!F9+'апр 2020'!F9+'май 2020'!F9+'июнь 2020'!F9+'июль 2020'!F9+'авг 2020'!F9+'сент 2020'!F9+'окт 2020г'!F9+'нояб 2020'!F9+'дек 2020'!F9</f>
        <v>216928.14600000007</v>
      </c>
      <c r="L6" s="208">
        <f t="shared" ref="L6:L11" si="0">E6*4608.6*12</f>
        <v>217341.57600000003</v>
      </c>
    </row>
    <row r="7" spans="1:12" ht="28.5" customHeight="1" x14ac:dyDescent="0.3">
      <c r="A7" s="8" t="s">
        <v>68</v>
      </c>
      <c r="B7" s="9" t="s">
        <v>12</v>
      </c>
      <c r="C7" s="217" t="s">
        <v>13</v>
      </c>
      <c r="D7" s="218"/>
      <c r="E7" s="203">
        <v>2.27</v>
      </c>
      <c r="F7" s="203">
        <f>'янв 2020'!F10+'февр 2020'!F10+'март 2020'!F10+'апр 2020'!F10+'май 2020'!F10+'июнь 2020'!F10+'июль 2020'!F10+'авг 2020'!F10+'сент 2020'!F10+'окт 2020г'!F10+'нояб 2020'!F10+'дек 2020'!F10</f>
        <v>125538.26399999998</v>
      </c>
      <c r="L7" s="208">
        <f t="shared" si="0"/>
        <v>125538.26400000001</v>
      </c>
    </row>
    <row r="8" spans="1:12" ht="28.8" x14ac:dyDescent="0.3">
      <c r="A8" s="8" t="s">
        <v>48</v>
      </c>
      <c r="B8" s="9" t="s">
        <v>14</v>
      </c>
      <c r="C8" s="217" t="s">
        <v>13</v>
      </c>
      <c r="D8" s="218"/>
      <c r="E8" s="25">
        <v>3.22</v>
      </c>
      <c r="F8" s="25">
        <f>'янв 2020'!F11+'февр 2020'!F11+'март 2020'!F11+'апр 2020'!F11+'май 2020'!F11+'июнь 2020'!F11+'июль 2020'!F11+'авг 2020'!F11+'сент 2020'!F11+'окт 2020г'!F11+'нояб 2020'!F11+'дек 2020'!F11</f>
        <v>178076.30400000009</v>
      </c>
      <c r="L8" s="208">
        <f t="shared" si="0"/>
        <v>178076.30400000003</v>
      </c>
    </row>
    <row r="9" spans="1:12" ht="43.2" x14ac:dyDescent="0.3">
      <c r="A9" s="8" t="s">
        <v>49</v>
      </c>
      <c r="B9" s="5" t="s">
        <v>25</v>
      </c>
      <c r="C9" s="217" t="s">
        <v>13</v>
      </c>
      <c r="D9" s="218"/>
      <c r="E9" s="40">
        <v>2.98</v>
      </c>
      <c r="F9" s="40">
        <f>'янв 2020'!F12+'февр 2020'!F12+'март 2020'!F12+'апр 2020'!F12+'май 2020'!F12+'июнь 2020'!F12+'июль 2020'!F12+'авг 2020'!F12+'сент 2020'!F12+'окт 2020г'!F12+'нояб 2020'!F12+'дек 2020'!F12</f>
        <v>164803.53599999999</v>
      </c>
      <c r="L9" s="208">
        <f t="shared" si="0"/>
        <v>164803.53600000002</v>
      </c>
    </row>
    <row r="10" spans="1:12" ht="28.8" x14ac:dyDescent="0.3">
      <c r="A10" s="8" t="s">
        <v>50</v>
      </c>
      <c r="B10" s="5" t="s">
        <v>25</v>
      </c>
      <c r="C10" s="217" t="s">
        <v>44</v>
      </c>
      <c r="D10" s="218"/>
      <c r="E10" s="40">
        <v>1.1599999999999999</v>
      </c>
      <c r="F10" s="40">
        <f>'янв 2020'!F13+'февр 2020'!F13+'март 2020'!F13+'апр 2020'!F13+'май 2020'!F13+'июнь 2020'!F13+'июль 2020'!F13+'авг 2020'!F13+'сент 2020'!F13+'окт 2020г'!F13+'нояб 2020'!F13+'дек 2020'!F13</f>
        <v>64151.712000000007</v>
      </c>
      <c r="L10" s="208">
        <f t="shared" si="0"/>
        <v>64151.712</v>
      </c>
    </row>
    <row r="11" spans="1:12" ht="28.8" x14ac:dyDescent="0.3">
      <c r="A11" s="8" t="s">
        <v>15</v>
      </c>
      <c r="B11" s="11" t="s">
        <v>16</v>
      </c>
      <c r="C11" s="217" t="s">
        <v>13</v>
      </c>
      <c r="D11" s="218"/>
      <c r="E11" s="10">
        <v>0.13</v>
      </c>
      <c r="F11" s="10">
        <f>'янв 2020'!F14+'февр 2020'!F14+'март 2020'!F14+'апр 2020'!F14+'май 2020'!F14+'июнь 2020'!F14+'июль 2020'!F14+'авг 2020'!F14+'сент 2020'!F14+'окт 2020г'!F14+'нояб 2020'!F14+'дек 2020'!F14</f>
        <v>7189.416000000002</v>
      </c>
      <c r="L11" s="208">
        <f t="shared" si="0"/>
        <v>7189.4160000000011</v>
      </c>
    </row>
    <row r="12" spans="1:12" ht="75.75" customHeight="1" x14ac:dyDescent="0.3">
      <c r="A12" s="8" t="s">
        <v>341</v>
      </c>
      <c r="B12" s="234" t="s">
        <v>342</v>
      </c>
      <c r="C12" s="245" t="s">
        <v>387</v>
      </c>
      <c r="D12" s="246"/>
      <c r="E12" s="253">
        <v>0</v>
      </c>
      <c r="F12" s="251">
        <v>0</v>
      </c>
      <c r="L12" s="208"/>
    </row>
    <row r="13" spans="1:12" ht="57.6" x14ac:dyDescent="0.3">
      <c r="A13" s="8" t="s">
        <v>345</v>
      </c>
      <c r="B13" s="235"/>
      <c r="C13" s="247"/>
      <c r="D13" s="248"/>
      <c r="E13" s="254"/>
      <c r="F13" s="252"/>
      <c r="L13" s="208"/>
    </row>
    <row r="14" spans="1:12" ht="57.6" x14ac:dyDescent="0.3">
      <c r="A14" s="69" t="s">
        <v>334</v>
      </c>
      <c r="B14" s="24" t="s">
        <v>89</v>
      </c>
      <c r="C14" s="217" t="s">
        <v>338</v>
      </c>
      <c r="D14" s="218"/>
      <c r="E14" s="10">
        <v>7.0000000000000007E-2</v>
      </c>
      <c r="F14" s="10">
        <v>3900</v>
      </c>
      <c r="L14" s="208">
        <v>3900</v>
      </c>
    </row>
    <row r="15" spans="1:12" ht="72.75" customHeight="1" x14ac:dyDescent="0.3">
      <c r="A15" s="8" t="s">
        <v>341</v>
      </c>
      <c r="B15" s="234" t="s">
        <v>347</v>
      </c>
      <c r="C15" s="245" t="s">
        <v>388</v>
      </c>
      <c r="D15" s="246"/>
      <c r="E15" s="253">
        <v>0</v>
      </c>
      <c r="F15" s="251">
        <v>0</v>
      </c>
    </row>
    <row r="16" spans="1:12" ht="57.6" x14ac:dyDescent="0.3">
      <c r="A16" s="8" t="s">
        <v>345</v>
      </c>
      <c r="B16" s="235"/>
      <c r="C16" s="247"/>
      <c r="D16" s="248"/>
      <c r="E16" s="254"/>
      <c r="F16" s="252"/>
    </row>
    <row r="17" spans="1:12" ht="78" customHeight="1" x14ac:dyDescent="0.3">
      <c r="A17" s="8" t="s">
        <v>341</v>
      </c>
      <c r="B17" s="234" t="s">
        <v>382</v>
      </c>
      <c r="C17" s="245" t="s">
        <v>389</v>
      </c>
      <c r="D17" s="246"/>
      <c r="E17" s="253">
        <v>0</v>
      </c>
      <c r="F17" s="251">
        <v>0</v>
      </c>
    </row>
    <row r="18" spans="1:12" ht="57.6" x14ac:dyDescent="0.3">
      <c r="A18" s="8" t="s">
        <v>345</v>
      </c>
      <c r="B18" s="235"/>
      <c r="C18" s="247"/>
      <c r="D18" s="248"/>
      <c r="E18" s="254"/>
      <c r="F18" s="252"/>
    </row>
    <row r="19" spans="1:12" x14ac:dyDescent="0.3">
      <c r="A19" s="117" t="s">
        <v>20</v>
      </c>
      <c r="B19" s="202"/>
      <c r="C19" s="202" t="s">
        <v>340</v>
      </c>
      <c r="D19" s="118"/>
      <c r="E19" s="119"/>
      <c r="F19" s="165">
        <f>F6+F7+F8+F9+F10+F11+F12+F14+F15+F17</f>
        <v>760587.37800000014</v>
      </c>
      <c r="L19" s="34">
        <f>'янв 2020'!F16+'февр 2020'!F16+'март 2020'!F16+'апр 2020'!F16+'май 2020'!F17+'июнь 2020'!F18+'июль 2020'!F15+'авг 2020'!F15+'сент 2020'!F15+'окт 2020г'!F15+'нояб 2020'!F17+'дек 2020'!F15</f>
        <v>760587.37800000014</v>
      </c>
    </row>
    <row r="20" spans="1:12" ht="15" customHeight="1" x14ac:dyDescent="0.3">
      <c r="A20" s="229" t="s">
        <v>17</v>
      </c>
      <c r="B20" s="229"/>
      <c r="C20" s="229"/>
      <c r="D20" s="229"/>
      <c r="E20" s="229"/>
      <c r="F20" s="229"/>
    </row>
    <row r="21" spans="1:12" ht="110.4" x14ac:dyDescent="0.3">
      <c r="A21" s="7" t="s">
        <v>3</v>
      </c>
      <c r="B21" s="7" t="s">
        <v>24</v>
      </c>
      <c r="C21" s="24" t="s">
        <v>4</v>
      </c>
      <c r="D21" s="21" t="s">
        <v>23</v>
      </c>
      <c r="E21" s="7" t="s">
        <v>5</v>
      </c>
      <c r="F21" s="7" t="s">
        <v>6</v>
      </c>
    </row>
    <row r="22" spans="1:12" ht="30" customHeight="1" x14ac:dyDescent="0.3">
      <c r="A22" s="86" t="s">
        <v>320</v>
      </c>
      <c r="B22" s="24" t="s">
        <v>319</v>
      </c>
      <c r="C22" s="24" t="s">
        <v>27</v>
      </c>
      <c r="D22" s="24">
        <v>37</v>
      </c>
      <c r="E22" s="40">
        <f t="shared" ref="E22:E30" si="1">F22/D22</f>
        <v>314.24324324324323</v>
      </c>
      <c r="F22" s="40">
        <v>11627</v>
      </c>
    </row>
    <row r="23" spans="1:12" ht="32.25" customHeight="1" x14ac:dyDescent="0.3">
      <c r="A23" s="86" t="s">
        <v>327</v>
      </c>
      <c r="B23" s="24" t="s">
        <v>328</v>
      </c>
      <c r="C23" s="24" t="s">
        <v>47</v>
      </c>
      <c r="D23" s="24">
        <v>1</v>
      </c>
      <c r="E23" s="40">
        <f t="shared" si="1"/>
        <v>7700</v>
      </c>
      <c r="F23" s="40">
        <v>7700</v>
      </c>
    </row>
    <row r="24" spans="1:12" ht="28.8" x14ac:dyDescent="0.3">
      <c r="A24" s="86" t="s">
        <v>332</v>
      </c>
      <c r="B24" s="24" t="s">
        <v>331</v>
      </c>
      <c r="C24" s="24" t="s">
        <v>27</v>
      </c>
      <c r="D24" s="24">
        <v>2</v>
      </c>
      <c r="E24" s="40">
        <f t="shared" si="1"/>
        <v>2238.5</v>
      </c>
      <c r="F24" s="40">
        <v>4477</v>
      </c>
    </row>
    <row r="25" spans="1:12" ht="43.2" x14ac:dyDescent="0.3">
      <c r="A25" s="86" t="s">
        <v>337</v>
      </c>
      <c r="B25" s="24" t="s">
        <v>336</v>
      </c>
      <c r="C25" s="24" t="s">
        <v>47</v>
      </c>
      <c r="D25" s="24">
        <v>6</v>
      </c>
      <c r="E25" s="40">
        <f t="shared" si="1"/>
        <v>849.5</v>
      </c>
      <c r="F25" s="40">
        <v>5097</v>
      </c>
    </row>
    <row r="26" spans="1:12" ht="28.8" x14ac:dyDescent="0.3">
      <c r="A26" s="86" t="s">
        <v>339</v>
      </c>
      <c r="B26" s="24" t="s">
        <v>336</v>
      </c>
      <c r="C26" s="24" t="s">
        <v>47</v>
      </c>
      <c r="D26" s="21">
        <v>1</v>
      </c>
      <c r="E26" s="40">
        <f t="shared" si="1"/>
        <v>1760</v>
      </c>
      <c r="F26" s="40">
        <v>1760</v>
      </c>
    </row>
    <row r="27" spans="1:12" ht="43.2" x14ac:dyDescent="0.3">
      <c r="A27" s="86" t="s">
        <v>351</v>
      </c>
      <c r="B27" s="24" t="s">
        <v>350</v>
      </c>
      <c r="C27" s="24" t="s">
        <v>47</v>
      </c>
      <c r="D27" s="24">
        <v>6</v>
      </c>
      <c r="E27" s="40">
        <f t="shared" si="1"/>
        <v>2282.3333333333335</v>
      </c>
      <c r="F27" s="40">
        <v>13694</v>
      </c>
    </row>
    <row r="28" spans="1:12" ht="28.8" x14ac:dyDescent="0.3">
      <c r="A28" s="86" t="s">
        <v>352</v>
      </c>
      <c r="B28" s="24" t="s">
        <v>350</v>
      </c>
      <c r="C28" s="24" t="s">
        <v>47</v>
      </c>
      <c r="D28" s="21">
        <v>1</v>
      </c>
      <c r="E28" s="40">
        <f t="shared" si="1"/>
        <v>440</v>
      </c>
      <c r="F28" s="40">
        <v>440</v>
      </c>
    </row>
    <row r="29" spans="1:12" ht="28.8" x14ac:dyDescent="0.3">
      <c r="A29" s="86" t="s">
        <v>356</v>
      </c>
      <c r="B29" s="24" t="s">
        <v>355</v>
      </c>
      <c r="C29" s="24" t="s">
        <v>47</v>
      </c>
      <c r="D29" s="24">
        <v>1</v>
      </c>
      <c r="E29" s="40">
        <f t="shared" si="1"/>
        <v>13200</v>
      </c>
      <c r="F29" s="40">
        <v>13200</v>
      </c>
    </row>
    <row r="30" spans="1:12" ht="57.6" x14ac:dyDescent="0.3">
      <c r="A30" s="86" t="s">
        <v>357</v>
      </c>
      <c r="B30" s="24" t="s">
        <v>355</v>
      </c>
      <c r="C30" s="24" t="s">
        <v>47</v>
      </c>
      <c r="D30" s="21">
        <v>2</v>
      </c>
      <c r="E30" s="40">
        <f t="shared" si="1"/>
        <v>7306</v>
      </c>
      <c r="F30" s="40">
        <v>14612</v>
      </c>
    </row>
    <row r="31" spans="1:12" ht="32.25" customHeight="1" x14ac:dyDescent="0.3">
      <c r="A31" s="86" t="s">
        <v>360</v>
      </c>
      <c r="B31" s="24" t="s">
        <v>361</v>
      </c>
      <c r="C31" s="24" t="s">
        <v>47</v>
      </c>
      <c r="D31" s="24">
        <v>1</v>
      </c>
      <c r="E31" s="40">
        <f t="shared" ref="E31:E37" si="2">F31/D31</f>
        <v>13200</v>
      </c>
      <c r="F31" s="40">
        <v>13200</v>
      </c>
    </row>
    <row r="32" spans="1:12" ht="72" x14ac:dyDescent="0.3">
      <c r="A32" s="86" t="s">
        <v>362</v>
      </c>
      <c r="B32" s="24" t="s">
        <v>361</v>
      </c>
      <c r="C32" s="24" t="s">
        <v>47</v>
      </c>
      <c r="D32" s="21">
        <v>2</v>
      </c>
      <c r="E32" s="40">
        <f t="shared" si="2"/>
        <v>4138.5</v>
      </c>
      <c r="F32" s="40">
        <v>8277</v>
      </c>
    </row>
    <row r="33" spans="1:12" ht="57.6" x14ac:dyDescent="0.3">
      <c r="A33" s="86" t="s">
        <v>363</v>
      </c>
      <c r="B33" s="24" t="s">
        <v>361</v>
      </c>
      <c r="C33" s="24" t="s">
        <v>27</v>
      </c>
      <c r="D33" s="21">
        <v>6.15</v>
      </c>
      <c r="E33" s="40">
        <f t="shared" si="2"/>
        <v>2004.8780487804877</v>
      </c>
      <c r="F33" s="40">
        <v>12330</v>
      </c>
    </row>
    <row r="34" spans="1:12" ht="57.6" x14ac:dyDescent="0.3">
      <c r="A34" s="86" t="s">
        <v>364</v>
      </c>
      <c r="B34" s="24" t="s">
        <v>361</v>
      </c>
      <c r="C34" s="24" t="s">
        <v>27</v>
      </c>
      <c r="D34" s="21">
        <v>3</v>
      </c>
      <c r="E34" s="40">
        <f t="shared" si="2"/>
        <v>1181.6666666666667</v>
      </c>
      <c r="F34" s="40">
        <v>3545</v>
      </c>
    </row>
    <row r="35" spans="1:12" ht="43.2" x14ac:dyDescent="0.3">
      <c r="A35" s="86" t="s">
        <v>365</v>
      </c>
      <c r="B35" s="24" t="s">
        <v>361</v>
      </c>
      <c r="C35" s="24" t="s">
        <v>366</v>
      </c>
      <c r="D35" s="21">
        <v>25</v>
      </c>
      <c r="E35" s="40">
        <f t="shared" si="2"/>
        <v>374</v>
      </c>
      <c r="F35" s="40">
        <v>9350</v>
      </c>
    </row>
    <row r="36" spans="1:12" ht="28.8" x14ac:dyDescent="0.3">
      <c r="A36" s="86" t="s">
        <v>367</v>
      </c>
      <c r="B36" s="24" t="s">
        <v>361</v>
      </c>
      <c r="C36" s="24" t="s">
        <v>28</v>
      </c>
      <c r="D36" s="21">
        <v>1.58</v>
      </c>
      <c r="E36" s="40">
        <f t="shared" si="2"/>
        <v>2200</v>
      </c>
      <c r="F36" s="40">
        <v>3476</v>
      </c>
    </row>
    <row r="37" spans="1:12" ht="129.6" x14ac:dyDescent="0.3">
      <c r="A37" s="86" t="s">
        <v>368</v>
      </c>
      <c r="B37" s="24" t="s">
        <v>361</v>
      </c>
      <c r="C37" s="24" t="s">
        <v>47</v>
      </c>
      <c r="D37" s="21">
        <v>7</v>
      </c>
      <c r="E37" s="40">
        <f t="shared" si="2"/>
        <v>3301.4285714285716</v>
      </c>
      <c r="F37" s="40">
        <v>23110</v>
      </c>
    </row>
    <row r="38" spans="1:12" ht="28.8" x14ac:dyDescent="0.3">
      <c r="A38" s="86" t="s">
        <v>370</v>
      </c>
      <c r="B38" s="24" t="s">
        <v>371</v>
      </c>
      <c r="C38" s="24" t="s">
        <v>27</v>
      </c>
      <c r="D38" s="24">
        <v>12</v>
      </c>
      <c r="E38" s="40">
        <f>F38/D38</f>
        <v>1410</v>
      </c>
      <c r="F38" s="40">
        <v>16920</v>
      </c>
    </row>
    <row r="39" spans="1:12" ht="43.2" x14ac:dyDescent="0.3">
      <c r="A39" s="86" t="s">
        <v>375</v>
      </c>
      <c r="B39" s="24" t="s">
        <v>374</v>
      </c>
      <c r="C39" s="24" t="s">
        <v>47</v>
      </c>
      <c r="D39" s="24">
        <v>1</v>
      </c>
      <c r="E39" s="40">
        <f>F39/D39</f>
        <v>660</v>
      </c>
      <c r="F39" s="40">
        <v>660</v>
      </c>
    </row>
    <row r="40" spans="1:12" ht="57.6" x14ac:dyDescent="0.3">
      <c r="A40" s="86" t="s">
        <v>377</v>
      </c>
      <c r="B40" s="24" t="s">
        <v>374</v>
      </c>
      <c r="C40" s="24" t="s">
        <v>366</v>
      </c>
      <c r="D40" s="21">
        <v>3</v>
      </c>
      <c r="E40" s="40">
        <f>F40/D40</f>
        <v>3730.3333333333335</v>
      </c>
      <c r="F40" s="40">
        <v>11191</v>
      </c>
    </row>
    <row r="41" spans="1:12" ht="33" customHeight="1" x14ac:dyDescent="0.3">
      <c r="A41" s="86" t="s">
        <v>379</v>
      </c>
      <c r="B41" s="24" t="s">
        <v>380</v>
      </c>
      <c r="C41" s="24" t="s">
        <v>27</v>
      </c>
      <c r="D41" s="24">
        <v>3</v>
      </c>
      <c r="E41" s="40">
        <f>F41/D41</f>
        <v>1682</v>
      </c>
      <c r="F41" s="40">
        <v>5046</v>
      </c>
    </row>
    <row r="42" spans="1:12" ht="45.75" customHeight="1" x14ac:dyDescent="0.3">
      <c r="A42" s="86" t="s">
        <v>381</v>
      </c>
      <c r="B42" s="24" t="s">
        <v>380</v>
      </c>
      <c r="C42" s="24" t="s">
        <v>47</v>
      </c>
      <c r="D42" s="21">
        <v>1</v>
      </c>
      <c r="E42" s="40">
        <f>F42/D42</f>
        <v>1575</v>
      </c>
      <c r="F42" s="40">
        <v>1575</v>
      </c>
    </row>
    <row r="43" spans="1:12" ht="18" customHeight="1" x14ac:dyDescent="0.3">
      <c r="A43" s="121" t="s">
        <v>21</v>
      </c>
      <c r="B43" s="122"/>
      <c r="C43" s="122"/>
      <c r="D43" s="122"/>
      <c r="E43" s="123"/>
      <c r="F43" s="123">
        <f>F22+F23+F24+F25+F26+F27+F28+F29+F30+F31+F32+F33+F34+F35+F36+F37+F38+F39+F40+F41+F42</f>
        <v>181287</v>
      </c>
      <c r="L43" s="34">
        <f>'янв 2020'!F23+'февр 2020'!F23+'март 2020'!F23+'апр 2020'!F23+'май 2020'!F24+'июнь 2020'!F25+'июль 2020'!F22+'авг 2020'!F22+'сент 2020'!F25+'окт 2020г'!F25+'нояб 2020'!F24+'дек 2020'!F22</f>
        <v>181287</v>
      </c>
    </row>
    <row r="44" spans="1:12" x14ac:dyDescent="0.3">
      <c r="A44" s="201"/>
    </row>
    <row r="45" spans="1:12" x14ac:dyDescent="0.3">
      <c r="A45" s="225" t="s">
        <v>54</v>
      </c>
      <c r="B45" s="225"/>
      <c r="C45" s="225"/>
      <c r="D45" s="225"/>
      <c r="E45" s="225"/>
      <c r="F45" s="225"/>
    </row>
    <row r="46" spans="1:12" x14ac:dyDescent="0.3">
      <c r="A46" s="225" t="s">
        <v>281</v>
      </c>
      <c r="B46" s="225"/>
      <c r="C46" s="225"/>
      <c r="D46" s="225"/>
      <c r="E46" s="225"/>
      <c r="F46" s="225"/>
    </row>
  </sheetData>
  <mergeCells count="26">
    <mergeCell ref="A45:F45"/>
    <mergeCell ref="A46:F46"/>
    <mergeCell ref="A1:I1"/>
    <mergeCell ref="A2:I2"/>
    <mergeCell ref="C4:D4"/>
    <mergeCell ref="A5:F5"/>
    <mergeCell ref="A20:F20"/>
    <mergeCell ref="C6:D6"/>
    <mergeCell ref="C7:D7"/>
    <mergeCell ref="C8:D8"/>
    <mergeCell ref="C9:D9"/>
    <mergeCell ref="C10:D10"/>
    <mergeCell ref="C11:D11"/>
    <mergeCell ref="B12:B13"/>
    <mergeCell ref="C12:D13"/>
    <mergeCell ref="E12:E13"/>
    <mergeCell ref="F12:F13"/>
    <mergeCell ref="C14:D14"/>
    <mergeCell ref="F15:F16"/>
    <mergeCell ref="B17:B18"/>
    <mergeCell ref="C17:D18"/>
    <mergeCell ref="E17:E18"/>
    <mergeCell ref="F17:F18"/>
    <mergeCell ref="B15:B16"/>
    <mergeCell ref="C15:D16"/>
    <mergeCell ref="E15:E16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206"/>
      <c r="E4" s="1" t="s">
        <v>386</v>
      </c>
      <c r="F4" s="1"/>
    </row>
    <row r="6" spans="1:9" ht="170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207">
        <v>2.27</v>
      </c>
      <c r="F10" s="207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205"/>
      <c r="C15" s="205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42.75" customHeight="1" x14ac:dyDescent="0.3">
      <c r="A18" s="86" t="s">
        <v>391</v>
      </c>
      <c r="B18" s="24" t="s">
        <v>392</v>
      </c>
      <c r="C18" s="24" t="s">
        <v>27</v>
      </c>
      <c r="D18" s="24">
        <v>2.5</v>
      </c>
      <c r="E18" s="40">
        <f>F18/D18</f>
        <v>1571.2</v>
      </c>
      <c r="F18" s="40">
        <v>3928</v>
      </c>
    </row>
    <row r="19" spans="1:13" ht="45.75" customHeight="1" x14ac:dyDescent="0.3">
      <c r="A19" s="86" t="s">
        <v>393</v>
      </c>
      <c r="B19" s="24" t="s">
        <v>392</v>
      </c>
      <c r="C19" s="24" t="s">
        <v>27</v>
      </c>
      <c r="D19" s="21">
        <v>5</v>
      </c>
      <c r="E19" s="40">
        <f>F19/D19</f>
        <v>2135.4</v>
      </c>
      <c r="F19" s="40">
        <v>10677</v>
      </c>
    </row>
    <row r="20" spans="1:13" ht="44.25" customHeight="1" x14ac:dyDescent="0.3">
      <c r="A20" s="86" t="s">
        <v>394</v>
      </c>
      <c r="B20" s="24" t="s">
        <v>392</v>
      </c>
      <c r="C20" s="24" t="s">
        <v>28</v>
      </c>
      <c r="D20" s="21">
        <v>1.33</v>
      </c>
      <c r="E20" s="40">
        <f>F20/D20</f>
        <v>1979.6992481203006</v>
      </c>
      <c r="F20" s="40">
        <v>2633</v>
      </c>
    </row>
    <row r="21" spans="1:13" ht="32.25" customHeight="1" x14ac:dyDescent="0.3">
      <c r="A21" s="86" t="s">
        <v>395</v>
      </c>
      <c r="B21" s="24" t="s">
        <v>392</v>
      </c>
      <c r="C21" s="24" t="s">
        <v>47</v>
      </c>
      <c r="D21" s="21">
        <v>1</v>
      </c>
      <c r="E21" s="40">
        <f>F21/D21</f>
        <v>660</v>
      </c>
      <c r="F21" s="40">
        <v>660</v>
      </c>
    </row>
    <row r="22" spans="1:13" ht="30" customHeight="1" x14ac:dyDescent="0.3">
      <c r="A22" s="86" t="s">
        <v>396</v>
      </c>
      <c r="B22" s="24" t="s">
        <v>392</v>
      </c>
      <c r="C22" s="24" t="s">
        <v>47</v>
      </c>
      <c r="D22" s="21">
        <v>1</v>
      </c>
      <c r="E22" s="40">
        <f>F22/D22</f>
        <v>3031</v>
      </c>
      <c r="F22" s="40">
        <v>3031</v>
      </c>
    </row>
    <row r="23" spans="1:13" ht="18" customHeight="1" x14ac:dyDescent="0.3">
      <c r="A23" s="121" t="s">
        <v>21</v>
      </c>
      <c r="B23" s="122"/>
      <c r="C23" s="122"/>
      <c r="D23" s="122"/>
      <c r="E23" s="123"/>
      <c r="F23" s="123">
        <f>F18+F19+F20+F21+F22</f>
        <v>20929</v>
      </c>
    </row>
    <row r="24" spans="1:13" ht="45" customHeight="1" x14ac:dyDescent="0.3">
      <c r="A24" s="230" t="s">
        <v>397</v>
      </c>
      <c r="B24" s="230"/>
      <c r="C24" s="230"/>
      <c r="D24" s="230"/>
      <c r="E24" s="230"/>
      <c r="F24" s="230"/>
      <c r="K24" s="34">
        <f>F15+F23</f>
        <v>84020.733999999997</v>
      </c>
      <c r="L24" s="34"/>
      <c r="M24" s="34"/>
    </row>
    <row r="25" spans="1:13" ht="33.75" customHeight="1" x14ac:dyDescent="0.3">
      <c r="A25" s="231" t="s">
        <v>7</v>
      </c>
      <c r="B25" s="231"/>
      <c r="C25" s="231"/>
      <c r="D25" s="231"/>
      <c r="E25" s="231"/>
      <c r="F25" s="231"/>
    </row>
    <row r="26" spans="1:13" x14ac:dyDescent="0.3">
      <c r="A26" s="232" t="s">
        <v>8</v>
      </c>
      <c r="B26" s="232"/>
      <c r="C26" s="232"/>
      <c r="D26" s="232"/>
      <c r="E26" s="232"/>
      <c r="F26" s="232"/>
    </row>
    <row r="27" spans="1:13" ht="32.25" customHeight="1" x14ac:dyDescent="0.3">
      <c r="A27" s="231" t="s">
        <v>9</v>
      </c>
      <c r="B27" s="231"/>
      <c r="C27" s="231"/>
      <c r="D27" s="231"/>
      <c r="E27" s="231"/>
      <c r="F27" s="231"/>
    </row>
    <row r="28" spans="1:13" x14ac:dyDescent="0.3">
      <c r="A28" s="4"/>
      <c r="B28" s="4" t="s">
        <v>10</v>
      </c>
      <c r="C28" s="4"/>
      <c r="D28" s="4"/>
      <c r="E28" s="4"/>
      <c r="F28" s="4"/>
    </row>
    <row r="29" spans="1:13" x14ac:dyDescent="0.3">
      <c r="A29" s="225" t="s">
        <v>11</v>
      </c>
      <c r="B29" s="225"/>
      <c r="C29" s="225"/>
      <c r="D29" s="225"/>
      <c r="E29" s="225"/>
      <c r="F29" s="225"/>
    </row>
    <row r="30" spans="1:13" x14ac:dyDescent="0.3">
      <c r="A30" s="204"/>
      <c r="B30" s="204"/>
      <c r="C30" s="204"/>
      <c r="D30" s="204"/>
      <c r="E30" s="204"/>
      <c r="F30" s="204"/>
    </row>
    <row r="31" spans="1:13" x14ac:dyDescent="0.3">
      <c r="A31" s="225" t="s">
        <v>54</v>
      </c>
      <c r="B31" s="225"/>
      <c r="C31" s="225"/>
      <c r="D31" s="225"/>
      <c r="E31" s="225"/>
      <c r="F31" s="225"/>
    </row>
    <row r="32" spans="1:13" x14ac:dyDescent="0.3">
      <c r="A32" s="225" t="s">
        <v>281</v>
      </c>
      <c r="B32" s="225"/>
      <c r="C32" s="225"/>
      <c r="D32" s="225"/>
      <c r="E32" s="225"/>
      <c r="F32" s="225"/>
    </row>
    <row r="33" spans="1:1" x14ac:dyDescent="0.3">
      <c r="A33" s="206"/>
    </row>
    <row r="35" spans="1:1" x14ac:dyDescent="0.3">
      <c r="A35" s="206"/>
    </row>
  </sheetData>
  <mergeCells count="20">
    <mergeCell ref="A31:F31"/>
    <mergeCell ref="A32:F32"/>
    <mergeCell ref="A16:F16"/>
    <mergeCell ref="A24:F24"/>
    <mergeCell ref="A25:F25"/>
    <mergeCell ref="A26:F26"/>
    <mergeCell ref="A27:F27"/>
    <mergeCell ref="A29:F29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3" workbookViewId="0">
      <selection activeCell="O23" sqref="O23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31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211"/>
      <c r="E4" s="1" t="s">
        <v>398</v>
      </c>
      <c r="F4" s="1"/>
    </row>
    <row r="6" spans="1:9" ht="170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212">
        <v>2.27</v>
      </c>
      <c r="F10" s="212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210"/>
      <c r="C15" s="210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31.5" customHeight="1" x14ac:dyDescent="0.3">
      <c r="A18" s="86" t="s">
        <v>400</v>
      </c>
      <c r="B18" s="24" t="s">
        <v>399</v>
      </c>
      <c r="C18" s="24" t="s">
        <v>47</v>
      </c>
      <c r="D18" s="24">
        <v>1</v>
      </c>
      <c r="E18" s="40">
        <f>F18/D18</f>
        <v>1642</v>
      </c>
      <c r="F18" s="40">
        <v>1642</v>
      </c>
    </row>
    <row r="19" spans="1:13" ht="44.25" customHeight="1" x14ac:dyDescent="0.3">
      <c r="A19" s="86" t="s">
        <v>394</v>
      </c>
      <c r="B19" s="24" t="s">
        <v>399</v>
      </c>
      <c r="C19" s="24" t="s">
        <v>28</v>
      </c>
      <c r="D19" s="21">
        <v>2.5</v>
      </c>
      <c r="E19" s="40">
        <f>F19/D19</f>
        <v>1980</v>
      </c>
      <c r="F19" s="40">
        <v>4950</v>
      </c>
    </row>
    <row r="20" spans="1:13" ht="18" customHeight="1" x14ac:dyDescent="0.25">
      <c r="A20" s="86"/>
      <c r="B20" s="24"/>
      <c r="C20" s="24"/>
      <c r="D20" s="21"/>
      <c r="E20" s="40"/>
      <c r="F20" s="40"/>
    </row>
    <row r="21" spans="1:13" ht="18" customHeight="1" x14ac:dyDescent="0.25">
      <c r="A21" s="86"/>
      <c r="B21" s="24"/>
      <c r="C21" s="24"/>
      <c r="D21" s="21"/>
      <c r="E21" s="40"/>
      <c r="F21" s="40"/>
    </row>
    <row r="22" spans="1:13" ht="18" customHeight="1" x14ac:dyDescent="0.3">
      <c r="A22" s="121" t="s">
        <v>21</v>
      </c>
      <c r="B22" s="122"/>
      <c r="C22" s="122"/>
      <c r="D22" s="122"/>
      <c r="E22" s="123"/>
      <c r="F22" s="123">
        <f>F18+F19</f>
        <v>6592</v>
      </c>
    </row>
    <row r="23" spans="1:13" ht="45" customHeight="1" x14ac:dyDescent="0.3">
      <c r="A23" s="230" t="s">
        <v>401</v>
      </c>
      <c r="B23" s="230"/>
      <c r="C23" s="230"/>
      <c r="D23" s="230"/>
      <c r="E23" s="230"/>
      <c r="F23" s="230"/>
      <c r="K23" s="34">
        <f>F15+F22</f>
        <v>69683.733999999997</v>
      </c>
      <c r="L23" s="34"/>
      <c r="M23" s="34"/>
    </row>
    <row r="24" spans="1:13" ht="33.75" customHeight="1" x14ac:dyDescent="0.3">
      <c r="A24" s="231" t="s">
        <v>7</v>
      </c>
      <c r="B24" s="231"/>
      <c r="C24" s="231"/>
      <c r="D24" s="231"/>
      <c r="E24" s="231"/>
      <c r="F24" s="231"/>
    </row>
    <row r="25" spans="1:13" x14ac:dyDescent="0.3">
      <c r="A25" s="232" t="s">
        <v>8</v>
      </c>
      <c r="B25" s="232"/>
      <c r="C25" s="232"/>
      <c r="D25" s="232"/>
      <c r="E25" s="232"/>
      <c r="F25" s="232"/>
    </row>
    <row r="26" spans="1:13" ht="32.25" customHeight="1" x14ac:dyDescent="0.3">
      <c r="A26" s="231" t="s">
        <v>9</v>
      </c>
      <c r="B26" s="231"/>
      <c r="C26" s="231"/>
      <c r="D26" s="231"/>
      <c r="E26" s="231"/>
      <c r="F26" s="231"/>
    </row>
    <row r="27" spans="1:13" x14ac:dyDescent="0.3">
      <c r="A27" s="4"/>
      <c r="B27" s="4" t="s">
        <v>10</v>
      </c>
      <c r="C27" s="4"/>
      <c r="D27" s="4"/>
      <c r="E27" s="4"/>
      <c r="F27" s="4"/>
    </row>
    <row r="28" spans="1:13" x14ac:dyDescent="0.3">
      <c r="A28" s="225" t="s">
        <v>11</v>
      </c>
      <c r="B28" s="225"/>
      <c r="C28" s="225"/>
      <c r="D28" s="225"/>
      <c r="E28" s="225"/>
      <c r="F28" s="225"/>
    </row>
    <row r="29" spans="1:13" ht="15" x14ac:dyDescent="0.25">
      <c r="A29" s="209"/>
      <c r="B29" s="209"/>
      <c r="C29" s="209"/>
      <c r="D29" s="209"/>
      <c r="E29" s="209"/>
      <c r="F29" s="209"/>
    </row>
    <row r="30" spans="1:13" x14ac:dyDescent="0.3">
      <c r="A30" s="225" t="s">
        <v>54</v>
      </c>
      <c r="B30" s="225"/>
      <c r="C30" s="225"/>
      <c r="D30" s="225"/>
      <c r="E30" s="225"/>
      <c r="F30" s="225"/>
    </row>
    <row r="31" spans="1:13" x14ac:dyDescent="0.3">
      <c r="A31" s="225" t="s">
        <v>281</v>
      </c>
      <c r="B31" s="225"/>
      <c r="C31" s="225"/>
      <c r="D31" s="225"/>
      <c r="E31" s="225"/>
      <c r="F31" s="225"/>
    </row>
    <row r="32" spans="1:13" ht="15" x14ac:dyDescent="0.25">
      <c r="A32" s="211"/>
    </row>
    <row r="34" spans="1:1" x14ac:dyDescent="0.3">
      <c r="A34" s="211"/>
    </row>
  </sheetData>
  <mergeCells count="20">
    <mergeCell ref="A30:F30"/>
    <mergeCell ref="A31:F31"/>
    <mergeCell ref="A16:F16"/>
    <mergeCell ref="A23:F23"/>
    <mergeCell ref="A24:F24"/>
    <mergeCell ref="A25:F25"/>
    <mergeCell ref="A26:F26"/>
    <mergeCell ref="A28:F28"/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6" workbookViewId="0">
      <selection activeCell="M32" sqref="M3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3" width="9.5546875" bestFit="1" customWidth="1"/>
  </cols>
  <sheetData>
    <row r="1" spans="1:9" x14ac:dyDescent="0.3">
      <c r="A1" s="219" t="s">
        <v>33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185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213"/>
      <c r="E4" s="1" t="s">
        <v>402</v>
      </c>
      <c r="F4" s="1"/>
    </row>
    <row r="6" spans="1:9" ht="170.25" customHeight="1" x14ac:dyDescent="0.3">
      <c r="A6" s="222" t="s">
        <v>282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289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3.93</v>
      </c>
      <c r="F9" s="10">
        <f>E9*4608.6</f>
        <v>18111.798000000003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216">
        <v>2.27</v>
      </c>
      <c r="F10" s="216">
        <f t="shared" ref="F10:F14" si="0">E10*4608.6</f>
        <v>10461.522000000001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3.22</v>
      </c>
      <c r="F11" s="25">
        <f t="shared" si="0"/>
        <v>14839.692000000003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2.98</v>
      </c>
      <c r="F12" s="40">
        <f t="shared" si="0"/>
        <v>13733.628000000001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1.1599999999999999</v>
      </c>
      <c r="F13" s="40">
        <f t="shared" si="0"/>
        <v>5345.9759999999997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599.11800000000005</v>
      </c>
    </row>
    <row r="15" spans="1:9" x14ac:dyDescent="0.3">
      <c r="A15" s="117" t="s">
        <v>20</v>
      </c>
      <c r="B15" s="215"/>
      <c r="C15" s="215" t="s">
        <v>340</v>
      </c>
      <c r="D15" s="118"/>
      <c r="E15" s="119"/>
      <c r="F15" s="165">
        <f>F9+F10+F11+F12+F13+F14</f>
        <v>63091.734000000004</v>
      </c>
    </row>
    <row r="16" spans="1:9" ht="15" customHeight="1" x14ac:dyDescent="0.3">
      <c r="A16" s="229" t="s">
        <v>17</v>
      </c>
      <c r="B16" s="229"/>
      <c r="C16" s="229"/>
      <c r="D16" s="229"/>
      <c r="E16" s="229"/>
      <c r="F16" s="229"/>
    </row>
    <row r="17" spans="1:13" ht="110.4" x14ac:dyDescent="0.3">
      <c r="A17" s="7" t="s">
        <v>3</v>
      </c>
      <c r="B17" s="7" t="s">
        <v>24</v>
      </c>
      <c r="C17" s="24" t="s">
        <v>4</v>
      </c>
      <c r="D17" s="21" t="s">
        <v>23</v>
      </c>
      <c r="E17" s="7" t="s">
        <v>5</v>
      </c>
      <c r="F17" s="7" t="s">
        <v>6</v>
      </c>
    </row>
    <row r="18" spans="1:13" ht="31.5" customHeight="1" x14ac:dyDescent="0.3">
      <c r="A18" s="86" t="s">
        <v>404</v>
      </c>
      <c r="B18" s="24" t="s">
        <v>405</v>
      </c>
      <c r="C18" s="24" t="s">
        <v>47</v>
      </c>
      <c r="D18" s="24">
        <v>1</v>
      </c>
      <c r="E18" s="40">
        <f>F18/D18</f>
        <v>3786</v>
      </c>
      <c r="F18" s="40">
        <v>3786</v>
      </c>
    </row>
    <row r="19" spans="1:13" ht="64.5" customHeight="1" x14ac:dyDescent="0.3">
      <c r="A19" s="86" t="s">
        <v>406</v>
      </c>
      <c r="B19" s="24" t="s">
        <v>405</v>
      </c>
      <c r="C19" s="24" t="s">
        <v>47</v>
      </c>
      <c r="D19" s="21">
        <v>6</v>
      </c>
      <c r="E19" s="40">
        <f>F19/D19</f>
        <v>1027.1666666666667</v>
      </c>
      <c r="F19" s="40">
        <v>6163</v>
      </c>
    </row>
    <row r="20" spans="1:13" ht="18" customHeight="1" x14ac:dyDescent="0.25">
      <c r="A20" s="86"/>
      <c r="B20" s="24"/>
      <c r="C20" s="24"/>
      <c r="D20" s="21"/>
      <c r="E20" s="40"/>
      <c r="F20" s="40"/>
    </row>
    <row r="21" spans="1:13" ht="18" customHeight="1" x14ac:dyDescent="0.25">
      <c r="A21" s="86"/>
      <c r="B21" s="24"/>
      <c r="C21" s="24"/>
      <c r="D21" s="21"/>
      <c r="E21" s="40"/>
      <c r="F21" s="40"/>
    </row>
    <row r="22" spans="1:13" ht="18" customHeight="1" x14ac:dyDescent="0.3">
      <c r="A22" s="121" t="s">
        <v>21</v>
      </c>
      <c r="B22" s="122"/>
      <c r="C22" s="122"/>
      <c r="D22" s="122"/>
      <c r="E22" s="123"/>
      <c r="F22" s="123">
        <f>F18+F19</f>
        <v>9949</v>
      </c>
    </row>
    <row r="23" spans="1:13" ht="45" customHeight="1" x14ac:dyDescent="0.3">
      <c r="A23" s="230" t="s">
        <v>403</v>
      </c>
      <c r="B23" s="230"/>
      <c r="C23" s="230"/>
      <c r="D23" s="230"/>
      <c r="E23" s="230"/>
      <c r="F23" s="230"/>
      <c r="K23" s="34">
        <f>F15+F22</f>
        <v>73040.733999999997</v>
      </c>
      <c r="L23" s="34"/>
      <c r="M23" s="34"/>
    </row>
    <row r="24" spans="1:13" ht="33.75" customHeight="1" x14ac:dyDescent="0.3">
      <c r="A24" s="231" t="s">
        <v>7</v>
      </c>
      <c r="B24" s="231"/>
      <c r="C24" s="231"/>
      <c r="D24" s="231"/>
      <c r="E24" s="231"/>
      <c r="F24" s="231"/>
    </row>
    <row r="25" spans="1:13" x14ac:dyDescent="0.3">
      <c r="A25" s="232" t="s">
        <v>8</v>
      </c>
      <c r="B25" s="232"/>
      <c r="C25" s="232"/>
      <c r="D25" s="232"/>
      <c r="E25" s="232"/>
      <c r="F25" s="232"/>
    </row>
    <row r="26" spans="1:13" ht="32.25" customHeight="1" x14ac:dyDescent="0.3">
      <c r="A26" s="231" t="s">
        <v>9</v>
      </c>
      <c r="B26" s="231"/>
      <c r="C26" s="231"/>
      <c r="D26" s="231"/>
      <c r="E26" s="231"/>
      <c r="F26" s="231"/>
    </row>
    <row r="27" spans="1:13" x14ac:dyDescent="0.3">
      <c r="A27" s="4"/>
      <c r="B27" s="4" t="s">
        <v>10</v>
      </c>
      <c r="C27" s="4"/>
      <c r="D27" s="4"/>
      <c r="E27" s="4"/>
      <c r="F27" s="4"/>
    </row>
    <row r="28" spans="1:13" x14ac:dyDescent="0.3">
      <c r="A28" s="225" t="s">
        <v>11</v>
      </c>
      <c r="B28" s="225"/>
      <c r="C28" s="225"/>
      <c r="D28" s="225"/>
      <c r="E28" s="225"/>
      <c r="F28" s="225"/>
    </row>
    <row r="29" spans="1:13" ht="15" x14ac:dyDescent="0.25">
      <c r="A29" s="214"/>
      <c r="B29" s="214"/>
      <c r="C29" s="214"/>
      <c r="D29" s="214"/>
      <c r="E29" s="214"/>
      <c r="F29" s="214"/>
    </row>
    <row r="30" spans="1:13" x14ac:dyDescent="0.3">
      <c r="A30" s="225" t="s">
        <v>54</v>
      </c>
      <c r="B30" s="225"/>
      <c r="C30" s="225"/>
      <c r="D30" s="225"/>
      <c r="E30" s="225"/>
      <c r="F30" s="225"/>
    </row>
    <row r="31" spans="1:13" x14ac:dyDescent="0.3">
      <c r="A31" s="225" t="s">
        <v>281</v>
      </c>
      <c r="B31" s="225"/>
      <c r="C31" s="225"/>
      <c r="D31" s="225"/>
      <c r="E31" s="225"/>
      <c r="F31" s="225"/>
    </row>
    <row r="32" spans="1:13" ht="15" x14ac:dyDescent="0.25">
      <c r="A32" s="213"/>
    </row>
    <row r="34" spans="1:1" ht="15" x14ac:dyDescent="0.25">
      <c r="A34" s="213"/>
    </row>
  </sheetData>
  <mergeCells count="20">
    <mergeCell ref="C14:D14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A30:F30"/>
    <mergeCell ref="A31:F31"/>
    <mergeCell ref="A16:F16"/>
    <mergeCell ref="A23:F23"/>
    <mergeCell ref="A24:F24"/>
    <mergeCell ref="A25:F25"/>
    <mergeCell ref="A26:F26"/>
    <mergeCell ref="A28:F28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5" sqref="M35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XFD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39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38"/>
      <c r="E4" s="1" t="s">
        <v>90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6.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28.8" x14ac:dyDescent="0.3">
      <c r="A21" s="22" t="s">
        <v>91</v>
      </c>
      <c r="B21" s="5" t="s">
        <v>92</v>
      </c>
      <c r="C21" s="5" t="s">
        <v>27</v>
      </c>
      <c r="D21" s="23">
        <v>16.5</v>
      </c>
      <c r="E21" s="30">
        <f>F21/D21</f>
        <v>998.78787878787875</v>
      </c>
      <c r="F21" s="5">
        <v>16480</v>
      </c>
    </row>
    <row r="22" spans="1:6" ht="43.2" x14ac:dyDescent="0.3">
      <c r="A22" s="22" t="s">
        <v>93</v>
      </c>
      <c r="B22" s="5" t="s">
        <v>85</v>
      </c>
      <c r="C22" s="5" t="s">
        <v>47</v>
      </c>
      <c r="D22" s="23">
        <v>1</v>
      </c>
      <c r="E22" s="30">
        <f>F22/D22</f>
        <v>1947</v>
      </c>
      <c r="F22" s="5">
        <v>1947</v>
      </c>
    </row>
    <row r="23" spans="1:6" x14ac:dyDescent="0.3">
      <c r="A23" s="41"/>
      <c r="B23" s="41"/>
      <c r="C23" s="41"/>
      <c r="D23" s="41"/>
      <c r="E23" s="41"/>
      <c r="F23" s="41"/>
    </row>
    <row r="24" spans="1:6" ht="33" customHeight="1" x14ac:dyDescent="0.3">
      <c r="A24" s="22" t="s">
        <v>21</v>
      </c>
      <c r="B24" s="5"/>
      <c r="C24" s="5"/>
      <c r="D24" s="5"/>
      <c r="E24" s="6"/>
      <c r="F24" s="30">
        <f>F21+F22</f>
        <v>18427</v>
      </c>
    </row>
    <row r="25" spans="1:6" ht="43.5" customHeight="1" x14ac:dyDescent="0.3">
      <c r="A25" s="230" t="s">
        <v>97</v>
      </c>
      <c r="B25" s="230"/>
      <c r="C25" s="230"/>
      <c r="D25" s="230"/>
      <c r="E25" s="230"/>
      <c r="F25" s="230"/>
    </row>
    <row r="26" spans="1:6" ht="28.5" customHeight="1" x14ac:dyDescent="0.3">
      <c r="A26" s="231" t="s">
        <v>7</v>
      </c>
      <c r="B26" s="231"/>
      <c r="C26" s="231"/>
      <c r="D26" s="231"/>
      <c r="E26" s="231"/>
      <c r="F26" s="231"/>
    </row>
    <row r="27" spans="1:6" ht="18.75" customHeight="1" x14ac:dyDescent="0.3">
      <c r="A27" s="232" t="s">
        <v>8</v>
      </c>
      <c r="B27" s="232"/>
      <c r="C27" s="232"/>
      <c r="D27" s="232"/>
      <c r="E27" s="232"/>
      <c r="F27" s="232"/>
    </row>
    <row r="28" spans="1:6" ht="29.25" customHeight="1" x14ac:dyDescent="0.3">
      <c r="A28" s="231" t="s">
        <v>9</v>
      </c>
      <c r="B28" s="231"/>
      <c r="C28" s="231"/>
      <c r="D28" s="231"/>
      <c r="E28" s="231"/>
      <c r="F28" s="231"/>
    </row>
    <row r="29" spans="1:6" ht="15.75" customHeight="1" x14ac:dyDescent="0.3">
      <c r="A29" s="37"/>
      <c r="B29" s="37"/>
      <c r="C29" s="37"/>
      <c r="D29" s="37"/>
      <c r="E29" s="37"/>
      <c r="F29" s="37"/>
    </row>
    <row r="30" spans="1:6" x14ac:dyDescent="0.3">
      <c r="A30" s="4"/>
      <c r="B30" s="4" t="s">
        <v>10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225" t="s">
        <v>11</v>
      </c>
      <c r="B32" s="225"/>
      <c r="C32" s="225"/>
      <c r="D32" s="225"/>
      <c r="E32" s="225"/>
      <c r="F32" s="225"/>
    </row>
    <row r="33" spans="1:6" x14ac:dyDescent="0.3">
      <c r="A33" s="37"/>
      <c r="B33" s="37"/>
      <c r="C33" s="37"/>
      <c r="D33" s="37"/>
      <c r="E33" s="37"/>
      <c r="F33" s="37"/>
    </row>
    <row r="34" spans="1:6" x14ac:dyDescent="0.3">
      <c r="A34" s="225" t="s">
        <v>54</v>
      </c>
      <c r="B34" s="225"/>
      <c r="C34" s="225"/>
      <c r="D34" s="225"/>
      <c r="E34" s="225"/>
      <c r="F34" s="225"/>
    </row>
    <row r="35" spans="1:6" x14ac:dyDescent="0.3">
      <c r="A35" s="225" t="s">
        <v>55</v>
      </c>
      <c r="B35" s="225"/>
      <c r="C35" s="225"/>
      <c r="D35" s="225"/>
      <c r="E35" s="225"/>
      <c r="F35" s="225"/>
    </row>
    <row r="36" spans="1:6" x14ac:dyDescent="0.3">
      <c r="A36" s="38"/>
    </row>
    <row r="38" spans="1:6" x14ac:dyDescent="0.3">
      <c r="A38" s="38"/>
    </row>
  </sheetData>
  <mergeCells count="23">
    <mergeCell ref="C16:D16"/>
    <mergeCell ref="C17:D17"/>
    <mergeCell ref="A19:F19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A35:F35"/>
    <mergeCell ref="A25:F25"/>
    <mergeCell ref="A26:F26"/>
    <mergeCell ref="A27:F27"/>
    <mergeCell ref="A28:F28"/>
    <mergeCell ref="A32:F32"/>
    <mergeCell ref="A34:F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8" workbookViewId="0">
      <selection activeCell="M25" sqref="M2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38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43"/>
      <c r="E4" s="1" t="s">
        <v>98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32.2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5" customHeight="1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43.2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1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6.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ht="15" customHeight="1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42" customHeight="1" x14ac:dyDescent="0.3">
      <c r="A21" s="22" t="s">
        <v>99</v>
      </c>
      <c r="B21" s="5" t="s">
        <v>100</v>
      </c>
      <c r="C21" s="5" t="s">
        <v>63</v>
      </c>
      <c r="D21" s="23">
        <v>9.6050000000000004</v>
      </c>
      <c r="E21" s="30">
        <f>F21/D21</f>
        <v>752.94117647058818</v>
      </c>
      <c r="F21" s="5">
        <v>7232</v>
      </c>
    </row>
    <row r="22" spans="1:6" ht="42" customHeight="1" x14ac:dyDescent="0.3">
      <c r="A22" s="22" t="s">
        <v>101</v>
      </c>
      <c r="B22" s="5" t="s">
        <v>100</v>
      </c>
      <c r="C22" s="5" t="s">
        <v>47</v>
      </c>
      <c r="D22" s="23">
        <v>2</v>
      </c>
      <c r="E22" s="30">
        <f>F22/D22</f>
        <v>2192</v>
      </c>
      <c r="F22" s="5">
        <v>4384</v>
      </c>
    </row>
    <row r="23" spans="1:6" ht="18" customHeight="1" x14ac:dyDescent="0.3">
      <c r="A23" s="22" t="s">
        <v>21</v>
      </c>
      <c r="B23" s="5"/>
      <c r="C23" s="5"/>
      <c r="D23" s="5"/>
      <c r="E23" s="6"/>
      <c r="F23" s="30">
        <f>F21+F22</f>
        <v>11616</v>
      </c>
    </row>
    <row r="24" spans="1:6" ht="43.5" customHeight="1" x14ac:dyDescent="0.3">
      <c r="A24" s="230" t="s">
        <v>102</v>
      </c>
      <c r="B24" s="230"/>
      <c r="C24" s="230"/>
      <c r="D24" s="230"/>
      <c r="E24" s="230"/>
      <c r="F24" s="230"/>
    </row>
    <row r="25" spans="1:6" ht="28.5" customHeight="1" x14ac:dyDescent="0.3">
      <c r="A25" s="231" t="s">
        <v>7</v>
      </c>
      <c r="B25" s="231"/>
      <c r="C25" s="231"/>
      <c r="D25" s="231"/>
      <c r="E25" s="231"/>
      <c r="F25" s="231"/>
    </row>
    <row r="26" spans="1:6" ht="18.75" customHeight="1" x14ac:dyDescent="0.3">
      <c r="A26" s="232" t="s">
        <v>8</v>
      </c>
      <c r="B26" s="232"/>
      <c r="C26" s="232"/>
      <c r="D26" s="232"/>
      <c r="E26" s="232"/>
      <c r="F26" s="232"/>
    </row>
    <row r="27" spans="1:6" ht="29.25" customHeight="1" x14ac:dyDescent="0.3">
      <c r="A27" s="231" t="s">
        <v>9</v>
      </c>
      <c r="B27" s="231"/>
      <c r="C27" s="231"/>
      <c r="D27" s="231"/>
      <c r="E27" s="231"/>
      <c r="F27" s="231"/>
    </row>
    <row r="28" spans="1:6" ht="15.75" customHeight="1" x14ac:dyDescent="0.25">
      <c r="A28" s="42"/>
      <c r="B28" s="42"/>
      <c r="C28" s="42"/>
      <c r="D28" s="42"/>
      <c r="E28" s="42"/>
      <c r="F28" s="42"/>
    </row>
    <row r="29" spans="1:6" x14ac:dyDescent="0.3">
      <c r="A29" s="4"/>
      <c r="B29" s="4" t="s">
        <v>10</v>
      </c>
      <c r="C29" s="4"/>
      <c r="D29" s="4"/>
      <c r="E29" s="4"/>
      <c r="F29" s="4"/>
    </row>
    <row r="30" spans="1:6" ht="15" x14ac:dyDescent="0.25">
      <c r="A30" s="4"/>
      <c r="B30" s="4"/>
      <c r="C30" s="4"/>
      <c r="D30" s="4"/>
      <c r="E30" s="4"/>
      <c r="F30" s="4"/>
    </row>
    <row r="31" spans="1:6" x14ac:dyDescent="0.3">
      <c r="A31" s="225" t="s">
        <v>11</v>
      </c>
      <c r="B31" s="225"/>
      <c r="C31" s="225"/>
      <c r="D31" s="225"/>
      <c r="E31" s="225"/>
      <c r="F31" s="225"/>
    </row>
    <row r="32" spans="1:6" ht="15" x14ac:dyDescent="0.25">
      <c r="A32" s="42"/>
      <c r="B32" s="42"/>
      <c r="C32" s="42"/>
      <c r="D32" s="42"/>
      <c r="E32" s="42"/>
      <c r="F32" s="42"/>
    </row>
    <row r="33" spans="1:6" x14ac:dyDescent="0.3">
      <c r="A33" s="225" t="s">
        <v>54</v>
      </c>
      <c r="B33" s="225"/>
      <c r="C33" s="225"/>
      <c r="D33" s="225"/>
      <c r="E33" s="225"/>
      <c r="F33" s="225"/>
    </row>
    <row r="34" spans="1:6" x14ac:dyDescent="0.3">
      <c r="A34" s="225" t="s">
        <v>55</v>
      </c>
      <c r="B34" s="225"/>
      <c r="C34" s="225"/>
      <c r="D34" s="225"/>
      <c r="E34" s="225"/>
      <c r="F34" s="225"/>
    </row>
    <row r="35" spans="1:6" ht="15" x14ac:dyDescent="0.25">
      <c r="A35" s="43"/>
    </row>
    <row r="37" spans="1:6" ht="15" x14ac:dyDescent="0.25">
      <c r="A37" s="43"/>
    </row>
  </sheetData>
  <mergeCells count="23">
    <mergeCell ref="C16:D16"/>
    <mergeCell ref="C17:D17"/>
    <mergeCell ref="A19:F19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A34:F34"/>
    <mergeCell ref="A24:F24"/>
    <mergeCell ref="A25:F25"/>
    <mergeCell ref="A26:F26"/>
    <mergeCell ref="A27:F27"/>
    <mergeCell ref="A31:F31"/>
    <mergeCell ref="A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39" sqref="A39:F39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9" ht="33" customHeight="1" x14ac:dyDescent="0.3">
      <c r="A2" s="220" t="s">
        <v>0</v>
      </c>
      <c r="B2" s="220"/>
      <c r="C2" s="220"/>
      <c r="D2" s="220"/>
      <c r="E2" s="220"/>
      <c r="F2" s="220"/>
      <c r="G2" s="220"/>
      <c r="H2" s="220"/>
      <c r="I2" s="220"/>
    </row>
    <row r="4" spans="1:9" x14ac:dyDescent="0.3">
      <c r="A4" s="221" t="s">
        <v>19</v>
      </c>
      <c r="B4" s="221"/>
      <c r="C4" s="44"/>
      <c r="E4" s="1" t="s">
        <v>103</v>
      </c>
      <c r="F4" s="1"/>
    </row>
    <row r="6" spans="1:9" ht="175.5" customHeight="1" x14ac:dyDescent="0.3">
      <c r="A6" s="222" t="s">
        <v>80</v>
      </c>
      <c r="B6" s="222"/>
      <c r="C6" s="222"/>
      <c r="D6" s="222"/>
      <c r="E6" s="222"/>
      <c r="F6" s="222"/>
      <c r="G6" s="222"/>
      <c r="H6" s="222"/>
      <c r="I6" s="222"/>
    </row>
    <row r="7" spans="1:9" ht="110.25" customHeight="1" x14ac:dyDescent="0.3">
      <c r="A7" s="7" t="s">
        <v>3</v>
      </c>
      <c r="B7" s="7" t="s">
        <v>24</v>
      </c>
      <c r="C7" s="223" t="s">
        <v>4</v>
      </c>
      <c r="D7" s="224"/>
      <c r="E7" s="7" t="s">
        <v>5</v>
      </c>
      <c r="F7" s="7" t="s">
        <v>6</v>
      </c>
    </row>
    <row r="8" spans="1:9" ht="15" customHeight="1" x14ac:dyDescent="0.3">
      <c r="A8" s="226" t="s">
        <v>70</v>
      </c>
      <c r="B8" s="227"/>
      <c r="C8" s="227"/>
      <c r="D8" s="227"/>
      <c r="E8" s="227"/>
      <c r="F8" s="228"/>
    </row>
    <row r="9" spans="1:9" ht="136.5" customHeight="1" x14ac:dyDescent="0.3">
      <c r="A9" s="8" t="s">
        <v>67</v>
      </c>
      <c r="B9" s="9" t="s">
        <v>12</v>
      </c>
      <c r="C9" s="217" t="s">
        <v>13</v>
      </c>
      <c r="D9" s="218"/>
      <c r="E9" s="10">
        <v>3.57</v>
      </c>
      <c r="F9" s="10">
        <f t="shared" ref="F9:F16" si="0">E9*4591.99</f>
        <v>16393.404299999998</v>
      </c>
    </row>
    <row r="10" spans="1:9" ht="28.5" customHeight="1" x14ac:dyDescent="0.3">
      <c r="A10" s="8" t="s">
        <v>68</v>
      </c>
      <c r="B10" s="9" t="s">
        <v>12</v>
      </c>
      <c r="C10" s="217" t="s">
        <v>13</v>
      </c>
      <c r="D10" s="218"/>
      <c r="E10" s="33">
        <v>2.0699999999999998</v>
      </c>
      <c r="F10" s="33">
        <f t="shared" si="0"/>
        <v>9505.4192999999996</v>
      </c>
    </row>
    <row r="11" spans="1:9" ht="28.8" x14ac:dyDescent="0.3">
      <c r="A11" s="8" t="s">
        <v>48</v>
      </c>
      <c r="B11" s="9" t="s">
        <v>14</v>
      </c>
      <c r="C11" s="217" t="s">
        <v>13</v>
      </c>
      <c r="D11" s="218"/>
      <c r="E11" s="25">
        <v>2.35</v>
      </c>
      <c r="F11" s="25">
        <f t="shared" si="0"/>
        <v>10791.1765</v>
      </c>
    </row>
    <row r="12" spans="1:9" ht="43.2" x14ac:dyDescent="0.3">
      <c r="A12" s="8" t="s">
        <v>49</v>
      </c>
      <c r="B12" s="5" t="s">
        <v>25</v>
      </c>
      <c r="C12" s="217" t="s">
        <v>13</v>
      </c>
      <c r="D12" s="218"/>
      <c r="E12" s="40">
        <v>2.17</v>
      </c>
      <c r="F12" s="40">
        <f t="shared" si="0"/>
        <v>9964.6183000000001</v>
      </c>
    </row>
    <row r="13" spans="1:9" ht="28.8" x14ac:dyDescent="0.3">
      <c r="A13" s="8" t="s">
        <v>50</v>
      </c>
      <c r="B13" s="5" t="s">
        <v>25</v>
      </c>
      <c r="C13" s="217" t="s">
        <v>44</v>
      </c>
      <c r="D13" s="218"/>
      <c r="E13" s="40">
        <v>0.84</v>
      </c>
      <c r="F13" s="40">
        <f t="shared" si="0"/>
        <v>3857.2715999999996</v>
      </c>
    </row>
    <row r="14" spans="1:9" ht="28.8" x14ac:dyDescent="0.3">
      <c r="A14" s="8" t="s">
        <v>15</v>
      </c>
      <c r="B14" s="11" t="s">
        <v>16</v>
      </c>
      <c r="C14" s="217" t="s">
        <v>13</v>
      </c>
      <c r="D14" s="218"/>
      <c r="E14" s="10">
        <v>0.13</v>
      </c>
      <c r="F14" s="10">
        <f t="shared" si="0"/>
        <v>596.95870000000002</v>
      </c>
    </row>
    <row r="15" spans="1:9" ht="15" customHeight="1" x14ac:dyDescent="0.3">
      <c r="A15" s="8" t="s">
        <v>43</v>
      </c>
      <c r="B15" s="11" t="s">
        <v>16</v>
      </c>
      <c r="C15" s="217" t="s">
        <v>44</v>
      </c>
      <c r="D15" s="233"/>
      <c r="E15" s="10">
        <v>0.04</v>
      </c>
      <c r="F15" s="10">
        <f t="shared" si="0"/>
        <v>183.67959999999999</v>
      </c>
    </row>
    <row r="16" spans="1:9" ht="27.75" customHeight="1" x14ac:dyDescent="0.3">
      <c r="A16" s="8" t="s">
        <v>45</v>
      </c>
      <c r="B16" s="11" t="s">
        <v>16</v>
      </c>
      <c r="C16" s="217" t="s">
        <v>44</v>
      </c>
      <c r="D16" s="218"/>
      <c r="E16" s="12">
        <v>0.13</v>
      </c>
      <c r="F16" s="12">
        <f t="shared" si="0"/>
        <v>596.95870000000002</v>
      </c>
    </row>
    <row r="17" spans="1:6" ht="17.25" customHeight="1" x14ac:dyDescent="0.3">
      <c r="A17" s="8" t="s">
        <v>29</v>
      </c>
      <c r="B17" s="5" t="s">
        <v>26</v>
      </c>
      <c r="C17" s="217" t="s">
        <v>30</v>
      </c>
      <c r="D17" s="218"/>
      <c r="E17" s="13">
        <v>545.89</v>
      </c>
      <c r="F17" s="12">
        <v>17265.63</v>
      </c>
    </row>
    <row r="18" spans="1:6" x14ac:dyDescent="0.3">
      <c r="A18" s="14" t="s">
        <v>20</v>
      </c>
      <c r="B18" s="15"/>
      <c r="C18" s="15"/>
      <c r="D18" s="16"/>
      <c r="F18" s="39">
        <f>SUM(F9:F17)</f>
        <v>69155.117000000013</v>
      </c>
    </row>
    <row r="19" spans="1:6" ht="15" customHeight="1" x14ac:dyDescent="0.3">
      <c r="A19" s="229" t="s">
        <v>17</v>
      </c>
      <c r="B19" s="229"/>
      <c r="C19" s="229"/>
      <c r="D19" s="229"/>
      <c r="E19" s="229"/>
      <c r="F19" s="229"/>
    </row>
    <row r="20" spans="1:6" ht="110.4" x14ac:dyDescent="0.3">
      <c r="A20" s="7" t="s">
        <v>3</v>
      </c>
      <c r="B20" s="7" t="s">
        <v>24</v>
      </c>
      <c r="C20" s="24" t="s">
        <v>4</v>
      </c>
      <c r="D20" s="21" t="s">
        <v>23</v>
      </c>
      <c r="E20" s="7" t="s">
        <v>5</v>
      </c>
      <c r="F20" s="7" t="s">
        <v>6</v>
      </c>
    </row>
    <row r="21" spans="1:6" ht="86.4" x14ac:dyDescent="0.3">
      <c r="A21" s="22" t="s">
        <v>105</v>
      </c>
      <c r="B21" s="24" t="s">
        <v>104</v>
      </c>
      <c r="C21" s="24" t="s">
        <v>47</v>
      </c>
      <c r="D21" s="48">
        <v>1</v>
      </c>
      <c r="E21" s="49">
        <f t="shared" ref="E21:E26" si="1">F21/D21</f>
        <v>4400</v>
      </c>
      <c r="F21" s="24">
        <v>4400</v>
      </c>
    </row>
    <row r="22" spans="1:6" ht="43.2" x14ac:dyDescent="0.3">
      <c r="A22" s="22" t="s">
        <v>106</v>
      </c>
      <c r="B22" s="24" t="s">
        <v>104</v>
      </c>
      <c r="C22" s="24" t="s">
        <v>47</v>
      </c>
      <c r="D22" s="48">
        <v>6</v>
      </c>
      <c r="E22" s="49">
        <f t="shared" si="1"/>
        <v>3015.8333333333335</v>
      </c>
      <c r="F22" s="24">
        <v>18095</v>
      </c>
    </row>
    <row r="23" spans="1:6" ht="43.2" x14ac:dyDescent="0.3">
      <c r="A23" s="22" t="s">
        <v>107</v>
      </c>
      <c r="B23" s="24" t="s">
        <v>104</v>
      </c>
      <c r="C23" s="24" t="s">
        <v>63</v>
      </c>
      <c r="D23" s="48">
        <v>9.4</v>
      </c>
      <c r="E23" s="49">
        <f t="shared" si="1"/>
        <v>380.42553191489361</v>
      </c>
      <c r="F23" s="24">
        <v>3576</v>
      </c>
    </row>
    <row r="24" spans="1:6" ht="72" x14ac:dyDescent="0.3">
      <c r="A24" s="22" t="s">
        <v>108</v>
      </c>
      <c r="B24" s="24" t="s">
        <v>104</v>
      </c>
      <c r="C24" s="24" t="s">
        <v>63</v>
      </c>
      <c r="D24" s="48">
        <v>102.9</v>
      </c>
      <c r="E24" s="49">
        <f t="shared" si="1"/>
        <v>1078.9018464528667</v>
      </c>
      <c r="F24" s="24">
        <v>111019</v>
      </c>
    </row>
    <row r="25" spans="1:6" ht="28.8" x14ac:dyDescent="0.3">
      <c r="A25" s="50" t="s">
        <v>109</v>
      </c>
      <c r="B25" s="41" t="s">
        <v>104</v>
      </c>
      <c r="C25" s="23" t="s">
        <v>63</v>
      </c>
      <c r="D25" s="23">
        <v>115.5</v>
      </c>
      <c r="E25" s="51">
        <f t="shared" si="1"/>
        <v>1597.939393939394</v>
      </c>
      <c r="F25" s="23">
        <v>184562</v>
      </c>
    </row>
    <row r="26" spans="1:6" ht="100.8" x14ac:dyDescent="0.3">
      <c r="A26" s="50" t="s">
        <v>110</v>
      </c>
      <c r="B26" s="52" t="s">
        <v>104</v>
      </c>
      <c r="C26" s="48" t="s">
        <v>27</v>
      </c>
      <c r="D26" s="48">
        <v>320.5</v>
      </c>
      <c r="E26" s="53">
        <f t="shared" si="1"/>
        <v>1650.0405616224648</v>
      </c>
      <c r="F26" s="48">
        <v>528838</v>
      </c>
    </row>
    <row r="27" spans="1:6" x14ac:dyDescent="0.3">
      <c r="A27" s="41"/>
      <c r="B27" s="41"/>
      <c r="C27" s="41"/>
      <c r="D27" s="41"/>
      <c r="E27" s="41"/>
      <c r="F27" s="41"/>
    </row>
    <row r="28" spans="1:6" x14ac:dyDescent="0.3">
      <c r="A28" s="22" t="s">
        <v>21</v>
      </c>
      <c r="B28" s="5"/>
      <c r="C28" s="5"/>
      <c r="D28" s="5"/>
      <c r="E28" s="6"/>
      <c r="F28" s="30">
        <f>F21+F22+F23+F24+F25+F26</f>
        <v>850490</v>
      </c>
    </row>
    <row r="29" spans="1:6" ht="43.5" customHeight="1" x14ac:dyDescent="0.3">
      <c r="A29" s="230" t="s">
        <v>111</v>
      </c>
      <c r="B29" s="230"/>
      <c r="C29" s="230"/>
      <c r="D29" s="230"/>
      <c r="E29" s="230"/>
      <c r="F29" s="230"/>
    </row>
    <row r="30" spans="1:6" ht="28.5" customHeight="1" x14ac:dyDescent="0.3">
      <c r="A30" s="231" t="s">
        <v>7</v>
      </c>
      <c r="B30" s="231"/>
      <c r="C30" s="231"/>
      <c r="D30" s="231"/>
      <c r="E30" s="231"/>
      <c r="F30" s="231"/>
    </row>
    <row r="31" spans="1:6" ht="16.5" customHeight="1" x14ac:dyDescent="0.3">
      <c r="A31" s="232" t="s">
        <v>8</v>
      </c>
      <c r="B31" s="232"/>
      <c r="C31" s="232"/>
      <c r="D31" s="232"/>
      <c r="E31" s="232"/>
      <c r="F31" s="232"/>
    </row>
    <row r="32" spans="1:6" ht="33" customHeight="1" x14ac:dyDescent="0.3">
      <c r="A32" s="231" t="s">
        <v>9</v>
      </c>
      <c r="B32" s="231"/>
      <c r="C32" s="231"/>
      <c r="D32" s="231"/>
      <c r="E32" s="231"/>
      <c r="F32" s="231"/>
    </row>
    <row r="33" spans="1:6" ht="1.5" customHeight="1" x14ac:dyDescent="0.3">
      <c r="A33" s="45"/>
      <c r="B33" s="45"/>
      <c r="C33" s="45"/>
      <c r="D33" s="45"/>
      <c r="E33" s="45"/>
      <c r="F33" s="45"/>
    </row>
    <row r="34" spans="1:6" ht="13.5" customHeight="1" x14ac:dyDescent="0.3">
      <c r="A34" s="4"/>
      <c r="B34" s="4" t="s">
        <v>10</v>
      </c>
      <c r="C34" s="4"/>
      <c r="D34" s="4"/>
      <c r="E34" s="4"/>
      <c r="F34" s="4"/>
    </row>
    <row r="35" spans="1:6" ht="15" hidden="1" x14ac:dyDescent="0.25">
      <c r="A35" s="4"/>
      <c r="B35" s="4"/>
      <c r="C35" s="4"/>
      <c r="D35" s="4"/>
      <c r="E35" s="4"/>
      <c r="F35" s="4"/>
    </row>
    <row r="36" spans="1:6" x14ac:dyDescent="0.3">
      <c r="A36" s="225" t="s">
        <v>11</v>
      </c>
      <c r="B36" s="225"/>
      <c r="C36" s="225"/>
      <c r="D36" s="225"/>
      <c r="E36" s="225"/>
      <c r="F36" s="225"/>
    </row>
    <row r="37" spans="1:6" ht="1.5" customHeight="1" x14ac:dyDescent="0.3">
      <c r="A37" s="45"/>
      <c r="B37" s="45"/>
      <c r="C37" s="45"/>
      <c r="D37" s="45"/>
      <c r="E37" s="45"/>
      <c r="F37" s="45"/>
    </row>
    <row r="38" spans="1:6" x14ac:dyDescent="0.3">
      <c r="A38" s="225" t="s">
        <v>54</v>
      </c>
      <c r="B38" s="225"/>
      <c r="C38" s="225"/>
      <c r="D38" s="225"/>
      <c r="E38" s="225"/>
      <c r="F38" s="225"/>
    </row>
    <row r="39" spans="1:6" x14ac:dyDescent="0.3">
      <c r="A39" s="225" t="s">
        <v>55</v>
      </c>
      <c r="B39" s="225"/>
      <c r="C39" s="225"/>
      <c r="D39" s="225"/>
      <c r="E39" s="225"/>
      <c r="F39" s="225"/>
    </row>
    <row r="40" spans="1:6" x14ac:dyDescent="0.3">
      <c r="A40" s="44"/>
    </row>
    <row r="42" spans="1:6" x14ac:dyDescent="0.3">
      <c r="A42" s="44"/>
    </row>
  </sheetData>
  <mergeCells count="23">
    <mergeCell ref="A39:F39"/>
    <mergeCell ref="A38:F38"/>
    <mergeCell ref="A1:I1"/>
    <mergeCell ref="A2:I2"/>
    <mergeCell ref="A4:B4"/>
    <mergeCell ref="A6:I6"/>
    <mergeCell ref="C7:D7"/>
    <mergeCell ref="A8:F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9:F19"/>
    <mergeCell ref="A29:F29"/>
    <mergeCell ref="A36:F36"/>
    <mergeCell ref="A30:F30"/>
    <mergeCell ref="A31:F31"/>
    <mergeCell ref="A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69</vt:i4>
      </vt:variant>
    </vt:vector>
  </HeadingPairs>
  <TitlesOfParts>
    <vt:vector size="69" baseType="lpstr">
      <vt:lpstr>Январь 2016</vt:lpstr>
      <vt:lpstr>Февраль 2016 г.</vt:lpstr>
      <vt:lpstr>март 2016 г.</vt:lpstr>
      <vt:lpstr>апрель 2016 г.</vt:lpstr>
      <vt:lpstr>май 2016 г.</vt:lpstr>
      <vt:lpstr>июнь 2016 г.</vt:lpstr>
      <vt:lpstr>июль 2016 г.</vt:lpstr>
      <vt:lpstr>август2016г.</vt:lpstr>
      <vt:lpstr>сентябрь 2016</vt:lpstr>
      <vt:lpstr>октябрь 2016 г.</vt:lpstr>
      <vt:lpstr>ноябрь 2016 г.</vt:lpstr>
      <vt:lpstr>декабрь 2016г.</vt:lpstr>
      <vt:lpstr>январь 2017г</vt:lpstr>
      <vt:lpstr>февраль 2017г.</vt:lpstr>
      <vt:lpstr>март 2017г</vt:lpstr>
      <vt:lpstr>апрель 2017г</vt:lpstr>
      <vt:lpstr>май 2017г</vt:lpstr>
      <vt:lpstr>июнь 2017г. </vt:lpstr>
      <vt:lpstr>июль 2017г.</vt:lpstr>
      <vt:lpstr>авг 2017г</vt:lpstr>
      <vt:lpstr>сент 2017г </vt:lpstr>
      <vt:lpstr>окт 2017г</vt:lpstr>
      <vt:lpstr>нояб 2017г</vt:lpstr>
      <vt:lpstr>дек 2017г</vt:lpstr>
      <vt:lpstr>2017</vt:lpstr>
      <vt:lpstr>янв 2018</vt:lpstr>
      <vt:lpstr>фев 2018</vt:lpstr>
      <vt:lpstr>март 2018</vt:lpstr>
      <vt:lpstr>апр 2018</vt:lpstr>
      <vt:lpstr>май 2018</vt:lpstr>
      <vt:lpstr>июнь 2018</vt:lpstr>
      <vt:lpstr>июль 2018</vt:lpstr>
      <vt:lpstr>авг 2018</vt:lpstr>
      <vt:lpstr>сент 2018</vt:lpstr>
      <vt:lpstr>окт 2018</vt:lpstr>
      <vt:lpstr>нояб 2018</vt:lpstr>
      <vt:lpstr>дек 2018</vt:lpstr>
      <vt:lpstr>2018г</vt:lpstr>
      <vt:lpstr>янв 2019</vt:lpstr>
      <vt:lpstr>февр 2019</vt:lpstr>
      <vt:lpstr>март 2019</vt:lpstr>
      <vt:lpstr>апр 2019</vt:lpstr>
      <vt:lpstr>май 2019</vt:lpstr>
      <vt:lpstr>июнь 2019</vt:lpstr>
      <vt:lpstr>июль 2019</vt:lpstr>
      <vt:lpstr>авг 2019</vt:lpstr>
      <vt:lpstr>сент 2019</vt:lpstr>
      <vt:lpstr>окт 2019</vt:lpstr>
      <vt:lpstr>нояб 2019</vt:lpstr>
      <vt:lpstr>дек 2019</vt:lpstr>
      <vt:lpstr>2019</vt:lpstr>
      <vt:lpstr>янв 2020</vt:lpstr>
      <vt:lpstr>февр 2020</vt:lpstr>
      <vt:lpstr>март 2020</vt:lpstr>
      <vt:lpstr>апр 2020</vt:lpstr>
      <vt:lpstr>май 2020</vt:lpstr>
      <vt:lpstr>июнь 2020</vt:lpstr>
      <vt:lpstr>июль 2020</vt:lpstr>
      <vt:lpstr>авг 2020</vt:lpstr>
      <vt:lpstr>сент 2020</vt:lpstr>
      <vt:lpstr>окт 2020г</vt:lpstr>
      <vt:lpstr>нояб 2020</vt:lpstr>
      <vt:lpstr>дек 2020</vt:lpstr>
      <vt:lpstr>2020</vt:lpstr>
      <vt:lpstr>янв 2021</vt:lpstr>
      <vt:lpstr>февр 2021</vt:lpstr>
      <vt:lpstr>март 2021</vt:lpstr>
      <vt:lpstr>апр 2021</vt:lpstr>
      <vt:lpstr>май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2021-03-12T09:20:05Z</cp:lastPrinted>
  <dcterms:created xsi:type="dcterms:W3CDTF">2016-03-11T11:04:02Z</dcterms:created>
  <dcterms:modified xsi:type="dcterms:W3CDTF">2021-04-05T05:27:52Z</dcterms:modified>
</cp:coreProperties>
</file>