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60" i="1" l="1"/>
  <c r="I59" i="1"/>
  <c r="G58" i="1"/>
  <c r="F58" i="1"/>
  <c r="E58" i="1"/>
  <c r="G56" i="1"/>
  <c r="F56" i="1"/>
  <c r="E56" i="1"/>
  <c r="D56" i="1"/>
  <c r="C56" i="1"/>
  <c r="H55" i="1"/>
  <c r="M54" i="1"/>
  <c r="I54" i="1"/>
  <c r="Z54" i="1" s="1"/>
  <c r="H54" i="1"/>
  <c r="Y53" i="1"/>
  <c r="Z53" i="1" s="1"/>
  <c r="M53" i="1"/>
  <c r="I53" i="1"/>
  <c r="H53" i="1"/>
  <c r="Y52" i="1"/>
  <c r="Z52" i="1" s="1"/>
  <c r="M52" i="1"/>
  <c r="I52" i="1"/>
  <c r="H52" i="1"/>
  <c r="Y51" i="1"/>
  <c r="Z51" i="1" s="1"/>
  <c r="M51" i="1"/>
  <c r="L51" i="1"/>
  <c r="I51" i="1"/>
  <c r="I56" i="1" s="1"/>
  <c r="H51" i="1"/>
  <c r="H56" i="1" s="1"/>
  <c r="F49" i="1"/>
  <c r="D49" i="1"/>
  <c r="C49" i="1"/>
  <c r="H48" i="1"/>
  <c r="I47" i="1"/>
  <c r="I46" i="1"/>
  <c r="I45" i="1"/>
  <c r="Y44" i="1"/>
  <c r="Z44" i="1" s="1"/>
  <c r="I44" i="1"/>
  <c r="M43" i="1"/>
  <c r="L43" i="1"/>
  <c r="I43" i="1"/>
  <c r="I49" i="1" s="1"/>
  <c r="G43" i="1"/>
  <c r="G49" i="1" s="1"/>
  <c r="E43" i="1"/>
  <c r="H43" i="1" s="1"/>
  <c r="H49" i="1" s="1"/>
  <c r="F41" i="1"/>
  <c r="F57" i="1" s="1"/>
  <c r="F62" i="1" s="1"/>
  <c r="D41" i="1"/>
  <c r="D57" i="1" s="1"/>
  <c r="D62" i="1" s="1"/>
  <c r="C41" i="1"/>
  <c r="C57" i="1" s="1"/>
  <c r="C62" i="1" s="1"/>
  <c r="Y38" i="1"/>
  <c r="M38" i="1"/>
  <c r="K38" i="1"/>
  <c r="I38" i="1"/>
  <c r="H38" i="1"/>
  <c r="I36" i="1"/>
  <c r="I35" i="1"/>
  <c r="Y34" i="1"/>
  <c r="Z34" i="1" s="1"/>
  <c r="I34" i="1"/>
  <c r="N33" i="1"/>
  <c r="M33" i="1"/>
  <c r="L33" i="1"/>
  <c r="K33" i="1"/>
  <c r="G33" i="1"/>
  <c r="E33" i="1"/>
  <c r="I33" i="1" s="1"/>
  <c r="I31" i="1"/>
  <c r="I30" i="1"/>
  <c r="Y29" i="1"/>
  <c r="Z29" i="1" s="1"/>
  <c r="I29" i="1"/>
  <c r="V28" i="1"/>
  <c r="M28" i="1"/>
  <c r="L28" i="1"/>
  <c r="K28" i="1"/>
  <c r="G28" i="1"/>
  <c r="E28" i="1"/>
  <c r="H28" i="1" s="1"/>
  <c r="I26" i="1"/>
  <c r="I25" i="1"/>
  <c r="Y24" i="1"/>
  <c r="I24" i="1"/>
  <c r="Z24" i="1" s="1"/>
  <c r="M23" i="1"/>
  <c r="L23" i="1"/>
  <c r="K23" i="1"/>
  <c r="G23" i="1"/>
  <c r="E23" i="1"/>
  <c r="I23" i="1" s="1"/>
  <c r="I21" i="1"/>
  <c r="I20" i="1"/>
  <c r="I19" i="1"/>
  <c r="Z19" i="1" s="1"/>
  <c r="M18" i="1"/>
  <c r="L18" i="1"/>
  <c r="H18" i="1"/>
  <c r="G18" i="1"/>
  <c r="I18" i="1" s="1"/>
  <c r="E18" i="1"/>
  <c r="Q17" i="1"/>
  <c r="G17" i="1"/>
  <c r="E17" i="1"/>
  <c r="E13" i="1" s="1"/>
  <c r="I16" i="1"/>
  <c r="I15" i="1"/>
  <c r="Z14" i="1"/>
  <c r="Q14" i="1"/>
  <c r="I14" i="1"/>
  <c r="N13" i="1"/>
  <c r="M13" i="1"/>
  <c r="L13" i="1"/>
  <c r="G13" i="1"/>
  <c r="I11" i="1"/>
  <c r="I10" i="1"/>
  <c r="I9" i="1"/>
  <c r="Z9" i="1" s="1"/>
  <c r="M8" i="1"/>
  <c r="M57" i="1" s="1"/>
  <c r="L8" i="1"/>
  <c r="G8" i="1"/>
  <c r="G41" i="1" s="1"/>
  <c r="G57" i="1" s="1"/>
  <c r="G62" i="1" s="1"/>
  <c r="E8" i="1"/>
  <c r="Q18" i="1" l="1"/>
  <c r="W18" i="1" s="1"/>
  <c r="I28" i="1"/>
  <c r="Z38" i="1"/>
  <c r="I58" i="1"/>
  <c r="L57" i="1"/>
  <c r="Q38" i="1"/>
  <c r="E41" i="1"/>
  <c r="Q28" i="1"/>
  <c r="W28" i="1" s="1"/>
  <c r="I13" i="1"/>
  <c r="H13" i="1"/>
  <c r="Q13" i="1" s="1"/>
  <c r="W13" i="1" s="1"/>
  <c r="Y49" i="1"/>
  <c r="R49" i="1"/>
  <c r="R50" i="1" s="1"/>
  <c r="Q49" i="1"/>
  <c r="Y47" i="1" s="1"/>
  <c r="H33" i="1"/>
  <c r="Q33" i="1" s="1"/>
  <c r="W33" i="1" s="1"/>
  <c r="H8" i="1"/>
  <c r="I8" i="1"/>
  <c r="I41" i="1" s="1"/>
  <c r="I57" i="1" s="1"/>
  <c r="I62" i="1" s="1"/>
  <c r="H23" i="1"/>
  <c r="Q23" i="1" s="1"/>
  <c r="W23" i="1" s="1"/>
  <c r="E49" i="1"/>
  <c r="H58" i="1"/>
  <c r="Q8" i="1" l="1"/>
  <c r="W8" i="1" s="1"/>
  <c r="H41" i="1"/>
  <c r="H57" i="1" s="1"/>
  <c r="H62" i="1" s="1"/>
  <c r="E57" i="1"/>
  <c r="E62" i="1" s="1"/>
</calcChain>
</file>

<file path=xl/comments1.xml><?xml version="1.0" encoding="utf-8"?>
<comments xmlns="http://schemas.openxmlformats.org/spreadsheetml/2006/main">
  <authors>
    <author>Автор</author>
  </authors>
  <commentList>
    <comment ref="D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начало года по ЕРЦ было 7478,72, у нас по отчету 7330
</t>
        </r>
      </text>
    </comment>
  </commentList>
</comments>
</file>

<file path=xl/sharedStrings.xml><?xml version="1.0" encoding="utf-8"?>
<sst xmlns="http://schemas.openxmlformats.org/spreadsheetml/2006/main" count="60" uniqueCount="40">
  <si>
    <t>УТВЕРЖДАЮ</t>
  </si>
  <si>
    <t>Директор ООО УК "Эталон" _____________________Э.В. Цыганова</t>
  </si>
  <si>
    <t>Информация о состоянии лицевого счета  д.№ 11 по ул. Бондарева</t>
  </si>
  <si>
    <t>за период 01.01.2025-31.12.2025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</si>
  <si>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</si>
  <si>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</si>
  <si>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</si>
  <si>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</si>
  <si>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</si>
  <si>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</si>
  <si>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</si>
  <si>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</si>
  <si>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- 4608,6 кв.м.</t>
  </si>
  <si>
    <t>ДЗ</t>
  </si>
  <si>
    <t>Содержание</t>
  </si>
  <si>
    <t>в т.ч. Население</t>
  </si>
  <si>
    <t>Макарятов О.Л.</t>
  </si>
  <si>
    <t>Хавхалюк Р.В.</t>
  </si>
  <si>
    <t>Ремонт</t>
  </si>
  <si>
    <t>в т.ч. Доходы от аренды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</si>
  <si>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</si>
  <si>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</si>
  <si>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</si>
  <si>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</si>
  <si>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</si>
  <si>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</si>
  <si>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</si>
  <si>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пени</t>
  </si>
  <si>
    <t>Платежи банка (%%, услуги банка)</t>
  </si>
  <si>
    <t>Остаток задолженности по кап.ремонту 2100000 (оплачено в январе 2023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</si>
  <si>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</si>
  <si>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</si>
  <si>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</si>
  <si>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</si>
  <si>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</si>
  <si>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</t>
  </si>
  <si>
    <t>ООО "ТТК"</t>
  </si>
  <si>
    <t>Ростелеком</t>
  </si>
  <si>
    <t>Налог по УСН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</si>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</sst>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4" fontId="3" fillId="0" borderId="0" xfId="1" applyNumberFormat="1" applyFont="1" applyAlignment="1">
      <alignment horizontal="center"/>
    </xf>
    <xf numFmtId="0" fontId="0" fillId="0" borderId="0" xfId="0" applyFill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4" fontId="9" fillId="0" borderId="0" xfId="1" applyNumberFormat="1" applyFont="1" applyAlignment="1">
      <alignment horizontal="center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4" fontId="9" fillId="0" borderId="0" xfId="1" applyNumberFormat="1" applyFont="1" applyFill="1" applyBorder="1" applyAlignment="1">
      <alignment horizontal="center" wrapText="1"/>
    </xf>
    <xf numFmtId="4" fontId="0" fillId="0" borderId="0" xfId="0" applyNumberFormat="1" applyFill="1"/>
    <xf numFmtId="4" fontId="0" fillId="0" borderId="0" xfId="0" applyNumberFormat="1"/>
    <xf numFmtId="3" fontId="12" fillId="2" borderId="14" xfId="1" applyNumberFormat="1" applyFont="1" applyFill="1" applyBorder="1" applyAlignment="1">
      <alignment horizontal="center"/>
    </xf>
    <xf numFmtId="3" fontId="12" fillId="2" borderId="15" xfId="1" applyNumberFormat="1" applyFont="1" applyFill="1" applyBorder="1" applyAlignment="1">
      <alignment horizontal="center"/>
    </xf>
    <xf numFmtId="1" fontId="12" fillId="2" borderId="14" xfId="1" applyNumberFormat="1" applyFont="1" applyFill="1" applyBorder="1" applyAlignment="1">
      <alignment horizontal="center"/>
    </xf>
    <xf numFmtId="3" fontId="12" fillId="2" borderId="16" xfId="1" applyNumberFormat="1" applyFont="1" applyFill="1" applyBorder="1" applyAlignment="1">
      <alignment horizontal="center"/>
    </xf>
    <xf numFmtId="1" fontId="12" fillId="2" borderId="16" xfId="1" applyNumberFormat="1" applyFont="1" applyFill="1" applyBorder="1" applyAlignment="1">
      <alignment horizontal="center"/>
    </xf>
    <xf numFmtId="3" fontId="12" fillId="2" borderId="11" xfId="1" applyNumberFormat="1" applyFont="1" applyFill="1" applyBorder="1" applyAlignment="1">
      <alignment horizontal="center"/>
    </xf>
    <xf numFmtId="4" fontId="12" fillId="2" borderId="10" xfId="1" applyNumberFormat="1" applyFont="1" applyFill="1" applyBorder="1" applyAlignment="1">
      <alignment horizontal="center"/>
    </xf>
    <xf numFmtId="3" fontId="0" fillId="0" borderId="0" xfId="0" applyNumberFormat="1"/>
    <xf numFmtId="3" fontId="12" fillId="2" borderId="19" xfId="1" applyNumberFormat="1" applyFont="1" applyFill="1" applyBorder="1" applyAlignment="1">
      <alignment horizontal="center"/>
    </xf>
    <xf numFmtId="4" fontId="12" fillId="2" borderId="20" xfId="1" applyNumberFormat="1" applyFont="1" applyFill="1" applyBorder="1" applyAlignment="1">
      <alignment horizontal="center"/>
    </xf>
    <xf numFmtId="1" fontId="12" fillId="2" borderId="19" xfId="1" applyNumberFormat="1" applyFont="1" applyFill="1" applyBorder="1" applyAlignment="1">
      <alignment horizontal="center"/>
    </xf>
    <xf numFmtId="3" fontId="12" fillId="2" borderId="21" xfId="1" applyNumberFormat="1" applyFont="1" applyFill="1" applyBorder="1" applyAlignment="1">
      <alignment horizontal="center"/>
    </xf>
    <xf numFmtId="3" fontId="12" fillId="2" borderId="22" xfId="1" applyNumberFormat="1" applyFont="1" applyFill="1" applyBorder="1" applyAlignment="1">
      <alignment horizontal="center"/>
    </xf>
    <xf numFmtId="3" fontId="9" fillId="0" borderId="25" xfId="1" applyNumberFormat="1" applyFont="1" applyBorder="1" applyAlignment="1">
      <alignment horizontal="center"/>
    </xf>
    <xf numFmtId="3" fontId="9" fillId="0" borderId="26" xfId="1" applyNumberFormat="1" applyFont="1" applyBorder="1" applyAlignment="1">
      <alignment horizontal="center"/>
    </xf>
    <xf numFmtId="1" fontId="9" fillId="0" borderId="25" xfId="1" applyNumberFormat="1" applyFont="1" applyFill="1" applyBorder="1" applyAlignment="1">
      <alignment horizontal="center"/>
    </xf>
    <xf numFmtId="1" fontId="9" fillId="0" borderId="25" xfId="1" applyNumberFormat="1" applyFont="1" applyBorder="1" applyAlignment="1">
      <alignment horizontal="center"/>
    </xf>
    <xf numFmtId="1" fontId="9" fillId="0" borderId="0" xfId="1" applyNumberFormat="1" applyFont="1"/>
    <xf numFmtId="4" fontId="9" fillId="0" borderId="0" xfId="1" applyNumberFormat="1" applyFont="1" applyAlignment="1">
      <alignment horizontal="center"/>
    </xf>
    <xf numFmtId="0" fontId="9" fillId="0" borderId="0" xfId="1" applyFont="1"/>
    <xf numFmtId="3" fontId="12" fillId="2" borderId="30" xfId="1" applyNumberFormat="1" applyFont="1" applyFill="1" applyBorder="1" applyAlignment="1">
      <alignment horizontal="center"/>
    </xf>
    <xf numFmtId="3" fontId="12" fillId="2" borderId="31" xfId="1" applyNumberFormat="1" applyFont="1" applyFill="1" applyBorder="1" applyAlignment="1">
      <alignment horizontal="center"/>
    </xf>
    <xf numFmtId="1" fontId="12" fillId="2" borderId="11" xfId="1" applyNumberFormat="1" applyFont="1" applyFill="1" applyBorder="1" applyAlignment="1">
      <alignment horizontal="center"/>
    </xf>
    <xf numFmtId="3" fontId="12" fillId="2" borderId="33" xfId="1" applyNumberFormat="1" applyFont="1" applyFill="1" applyBorder="1" applyAlignment="1">
      <alignment horizontal="center"/>
    </xf>
    <xf numFmtId="4" fontId="12" fillId="2" borderId="21" xfId="1" applyNumberFormat="1" applyFont="1" applyFill="1" applyBorder="1" applyAlignment="1">
      <alignment horizontal="center"/>
    </xf>
    <xf numFmtId="1" fontId="12" fillId="2" borderId="21" xfId="1" applyNumberFormat="1" applyFont="1" applyFill="1" applyBorder="1" applyAlignment="1">
      <alignment horizontal="center"/>
    </xf>
    <xf numFmtId="3" fontId="7" fillId="0" borderId="26" xfId="1" applyNumberFormat="1" applyFont="1" applyBorder="1" applyAlignment="1">
      <alignment horizontal="center"/>
    </xf>
    <xf numFmtId="1" fontId="7" fillId="0" borderId="25" xfId="1" applyNumberFormat="1" applyFont="1" applyFill="1" applyBorder="1" applyAlignment="1">
      <alignment horizontal="center"/>
    </xf>
    <xf numFmtId="1" fontId="7" fillId="0" borderId="25" xfId="1" applyNumberFormat="1" applyFont="1" applyBorder="1" applyAlignment="1">
      <alignment horizontal="center"/>
    </xf>
    <xf numFmtId="3" fontId="7" fillId="0" borderId="25" xfId="1" applyNumberFormat="1" applyFont="1" applyBorder="1" applyAlignment="1">
      <alignment horizontal="center"/>
    </xf>
    <xf numFmtId="4" fontId="9" fillId="0" borderId="11" xfId="1" applyNumberFormat="1" applyFont="1" applyBorder="1" applyAlignment="1">
      <alignment horizontal="center"/>
    </xf>
    <xf numFmtId="164" fontId="0" fillId="0" borderId="0" xfId="0" applyNumberFormat="1"/>
    <xf numFmtId="3" fontId="12" fillId="2" borderId="20" xfId="1" applyNumberFormat="1" applyFont="1" applyFill="1" applyBorder="1" applyAlignment="1">
      <alignment horizontal="center"/>
    </xf>
    <xf numFmtId="4" fontId="9" fillId="0" borderId="38" xfId="1" applyNumberFormat="1" applyFont="1" applyBorder="1" applyAlignment="1">
      <alignment horizontal="center"/>
    </xf>
    <xf numFmtId="3" fontId="9" fillId="0" borderId="38" xfId="1" applyNumberFormat="1" applyFont="1" applyBorder="1" applyAlignment="1">
      <alignment horizontal="center"/>
    </xf>
    <xf numFmtId="3" fontId="9" fillId="3" borderId="24" xfId="1" applyNumberFormat="1" applyFont="1" applyFill="1" applyBorder="1" applyAlignment="1">
      <alignment horizontal="center"/>
    </xf>
    <xf numFmtId="3" fontId="9" fillId="3" borderId="16" xfId="1" applyNumberFormat="1" applyFont="1" applyFill="1" applyBorder="1" applyAlignment="1">
      <alignment horizontal="center"/>
    </xf>
    <xf numFmtId="4" fontId="13" fillId="0" borderId="0" xfId="0" applyNumberFormat="1" applyFont="1" applyAlignment="1">
      <alignment horizontal="center"/>
    </xf>
    <xf numFmtId="3" fontId="9" fillId="3" borderId="39" xfId="1" applyNumberFormat="1" applyFont="1" applyFill="1" applyBorder="1" applyAlignment="1">
      <alignment horizontal="center"/>
    </xf>
    <xf numFmtId="3" fontId="12" fillId="2" borderId="10" xfId="1" applyNumberFormat="1" applyFont="1" applyFill="1" applyBorder="1" applyAlignment="1">
      <alignment horizontal="center"/>
    </xf>
    <xf numFmtId="3" fontId="9" fillId="3" borderId="26" xfId="1" applyNumberFormat="1" applyFont="1" applyFill="1" applyBorder="1" applyAlignment="1">
      <alignment horizontal="center"/>
    </xf>
    <xf numFmtId="3" fontId="9" fillId="0" borderId="16" xfId="1" applyNumberFormat="1" applyFont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1" fontId="9" fillId="0" borderId="16" xfId="1" applyNumberFormat="1" applyFont="1" applyFill="1" applyBorder="1" applyAlignment="1">
      <alignment horizontal="center"/>
    </xf>
    <xf numFmtId="1" fontId="9" fillId="0" borderId="16" xfId="1" applyNumberFormat="1" applyFont="1" applyBorder="1" applyAlignment="1">
      <alignment horizontal="center"/>
    </xf>
    <xf numFmtId="3" fontId="7" fillId="0" borderId="38" xfId="1" applyNumberFormat="1" applyFont="1" applyBorder="1" applyAlignment="1">
      <alignment horizontal="center"/>
    </xf>
    <xf numFmtId="3" fontId="7" fillId="0" borderId="36" xfId="1" applyNumberFormat="1" applyFont="1" applyBorder="1" applyAlignment="1">
      <alignment horizontal="center"/>
    </xf>
    <xf numFmtId="1" fontId="7" fillId="0" borderId="38" xfId="1" applyNumberFormat="1" applyFont="1" applyBorder="1" applyAlignment="1">
      <alignment horizontal="center"/>
    </xf>
    <xf numFmtId="3" fontId="4" fillId="5" borderId="42" xfId="1" applyNumberFormat="1" applyFont="1" applyFill="1" applyBorder="1" applyAlignment="1">
      <alignment horizontal="center"/>
    </xf>
    <xf numFmtId="1" fontId="4" fillId="5" borderId="42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3" fontId="4" fillId="4" borderId="5" xfId="1" applyNumberFormat="1" applyFont="1" applyFill="1" applyBorder="1" applyAlignment="1">
      <alignment horizontal="center"/>
    </xf>
    <xf numFmtId="3" fontId="4" fillId="4" borderId="44" xfId="1" applyNumberFormat="1" applyFont="1" applyFill="1" applyBorder="1" applyAlignment="1">
      <alignment horizontal="center"/>
    </xf>
    <xf numFmtId="3" fontId="9" fillId="4" borderId="38" xfId="1" applyNumberFormat="1" applyFont="1" applyFill="1" applyBorder="1" applyAlignment="1">
      <alignment horizontal="center"/>
    </xf>
    <xf numFmtId="3" fontId="12" fillId="2" borderId="29" xfId="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center"/>
    </xf>
    <xf numFmtId="3" fontId="9" fillId="2" borderId="3" xfId="1" applyNumberFormat="1" applyFont="1" applyFill="1" applyBorder="1" applyAlignment="1">
      <alignment horizontal="center"/>
    </xf>
    <xf numFmtId="3" fontId="9" fillId="2" borderId="16" xfId="1" applyNumberFormat="1" applyFont="1" applyFill="1" applyBorder="1" applyAlignment="1">
      <alignment horizontal="center"/>
    </xf>
    <xf numFmtId="3" fontId="9" fillId="2" borderId="41" xfId="1" applyNumberFormat="1" applyFont="1" applyFill="1" applyBorder="1" applyAlignment="1">
      <alignment horizontal="center"/>
    </xf>
    <xf numFmtId="3" fontId="12" fillId="2" borderId="9" xfId="1" applyNumberFormat="1" applyFont="1" applyFill="1" applyBorder="1" applyAlignment="1">
      <alignment horizontal="center"/>
    </xf>
    <xf numFmtId="3" fontId="9" fillId="2" borderId="38" xfId="1" applyNumberFormat="1" applyFont="1" applyFill="1" applyBorder="1" applyAlignment="1">
      <alignment horizontal="center"/>
    </xf>
    <xf numFmtId="3" fontId="9" fillId="2" borderId="36" xfId="1" applyNumberFormat="1" applyFont="1" applyFill="1" applyBorder="1" applyAlignment="1">
      <alignment horizontal="center"/>
    </xf>
    <xf numFmtId="3" fontId="12" fillId="2" borderId="32" xfId="1" applyNumberFormat="1" applyFont="1" applyFill="1" applyBorder="1" applyAlignment="1">
      <alignment horizontal="center"/>
    </xf>
    <xf numFmtId="3" fontId="9" fillId="2" borderId="21" xfId="1" applyNumberFormat="1" applyFont="1" applyFill="1" applyBorder="1" applyAlignment="1">
      <alignment horizontal="center"/>
    </xf>
    <xf numFmtId="3" fontId="9" fillId="2" borderId="22" xfId="1" applyNumberFormat="1" applyFont="1" applyFill="1" applyBorder="1" applyAlignment="1">
      <alignment horizontal="center"/>
    </xf>
    <xf numFmtId="3" fontId="9" fillId="4" borderId="11" xfId="1" applyNumberFormat="1" applyFont="1" applyFill="1" applyBorder="1" applyAlignment="1">
      <alignment horizontal="center"/>
    </xf>
    <xf numFmtId="3" fontId="4" fillId="5" borderId="48" xfId="1" applyNumberFormat="1" applyFont="1" applyFill="1" applyBorder="1" applyAlignment="1">
      <alignment horizontal="center"/>
    </xf>
    <xf numFmtId="3" fontId="4" fillId="5" borderId="43" xfId="1" applyNumberFormat="1" applyFont="1" applyFill="1" applyBorder="1" applyAlignment="1">
      <alignment horizontal="center"/>
    </xf>
    <xf numFmtId="3" fontId="0" fillId="0" borderId="0" xfId="0" applyNumberFormat="1" applyFill="1"/>
    <xf numFmtId="3" fontId="9" fillId="0" borderId="14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4" fontId="9" fillId="0" borderId="16" xfId="1" applyNumberFormat="1" applyFont="1" applyBorder="1" applyAlignment="1">
      <alignment horizontal="center"/>
    </xf>
    <xf numFmtId="3" fontId="7" fillId="0" borderId="21" xfId="1" applyNumberFormat="1" applyFont="1" applyBorder="1" applyAlignment="1">
      <alignment horizontal="center"/>
    </xf>
    <xf numFmtId="3" fontId="9" fillId="0" borderId="21" xfId="1" applyNumberFormat="1" applyFont="1" applyBorder="1" applyAlignment="1">
      <alignment horizontal="center"/>
    </xf>
    <xf numFmtId="3" fontId="7" fillId="0" borderId="22" xfId="1" applyNumberFormat="1" applyFont="1" applyBorder="1" applyAlignment="1">
      <alignment horizontal="center"/>
    </xf>
    <xf numFmtId="3" fontId="4" fillId="5" borderId="19" xfId="1" applyNumberFormat="1" applyFont="1" applyFill="1" applyBorder="1" applyAlignment="1">
      <alignment horizontal="center"/>
    </xf>
    <xf numFmtId="0" fontId="3" fillId="0" borderId="0" xfId="1" applyFont="1"/>
    <xf numFmtId="0" fontId="13" fillId="0" borderId="0" xfId="0" applyFont="1"/>
    <xf numFmtId="0" fontId="13" fillId="0" borderId="0" xfId="0" applyFont="1" applyFill="1"/>
    <xf numFmtId="3" fontId="9" fillId="4" borderId="31" xfId="1" applyNumberFormat="1" applyFont="1" applyFill="1" applyBorder="1" applyAlignment="1">
      <alignment horizontal="center"/>
    </xf>
    <xf numFmtId="3" fontId="9" fillId="0" borderId="31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9" fillId="4" borderId="16" xfId="1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9" fillId="4" borderId="53" xfId="1" applyFont="1" applyFill="1" applyBorder="1" applyAlignment="1">
      <alignment horizontal="center" wrapText="1"/>
    </xf>
    <xf numFmtId="0" fontId="4" fillId="5" borderId="42" xfId="1" applyFont="1" applyFill="1" applyBorder="1" applyAlignment="1">
      <alignment horizontal="left"/>
    </xf>
    <xf numFmtId="0" fontId="4" fillId="5" borderId="43" xfId="1" applyFont="1" applyFill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44" xfId="1" applyFont="1" applyBorder="1" applyAlignment="1"/>
    <xf numFmtId="0" fontId="9" fillId="0" borderId="40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7" fillId="0" borderId="32" xfId="1" applyFont="1" applyBorder="1" applyAlignment="1">
      <alignment horizontal="left"/>
    </xf>
    <xf numFmtId="0" fontId="7" fillId="0" borderId="21" xfId="1" applyFont="1" applyBorder="1" applyAlignment="1">
      <alignment horizontal="left"/>
    </xf>
    <xf numFmtId="0" fontId="4" fillId="5" borderId="51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9" fillId="4" borderId="52" xfId="1" applyFont="1" applyFill="1" applyBorder="1" applyAlignment="1">
      <alignment horizontal="center" wrapText="1"/>
    </xf>
    <xf numFmtId="0" fontId="9" fillId="4" borderId="30" xfId="1" applyFont="1" applyFill="1" applyBorder="1" applyAlignment="1">
      <alignment horizontal="center" wrapText="1"/>
    </xf>
    <xf numFmtId="0" fontId="9" fillId="4" borderId="47" xfId="1" applyFont="1" applyFill="1" applyBorder="1" applyAlignment="1">
      <alignment horizontal="left" wrapText="1"/>
    </xf>
    <xf numFmtId="0" fontId="0" fillId="4" borderId="31" xfId="0" applyFill="1" applyBorder="1" applyAlignment="1">
      <alignment horizontal="left" wrapText="1"/>
    </xf>
    <xf numFmtId="0" fontId="4" fillId="5" borderId="42" xfId="1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49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50" xfId="1" applyFont="1" applyBorder="1" applyAlignment="1">
      <alignment horizontal="center"/>
    </xf>
    <xf numFmtId="0" fontId="9" fillId="0" borderId="29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40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9" fillId="0" borderId="41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0" fontId="7" fillId="0" borderId="28" xfId="1" applyFont="1" applyBorder="1" applyAlignment="1">
      <alignment horizontal="left"/>
    </xf>
    <xf numFmtId="0" fontId="4" fillId="5" borderId="43" xfId="1" applyFont="1" applyFill="1" applyBorder="1" applyAlignment="1">
      <alignment horizontal="center"/>
    </xf>
    <xf numFmtId="0" fontId="9" fillId="4" borderId="45" xfId="1" applyFont="1" applyFill="1" applyBorder="1" applyAlignment="1">
      <alignment horizontal="left" wrapText="1"/>
    </xf>
    <xf numFmtId="0" fontId="9" fillId="4" borderId="46" xfId="1" applyFont="1" applyFill="1" applyBorder="1" applyAlignment="1">
      <alignment horizontal="left" wrapText="1"/>
    </xf>
    <xf numFmtId="3" fontId="0" fillId="0" borderId="0" xfId="0" applyNumberFormat="1" applyAlignment="1">
      <alignment horizontal="center" wrapText="1"/>
    </xf>
    <xf numFmtId="0" fontId="12" fillId="2" borderId="12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9" fillId="0" borderId="37" xfId="1" applyFont="1" applyBorder="1" applyAlignment="1">
      <alignment horizontal="left"/>
    </xf>
    <xf numFmtId="0" fontId="9" fillId="0" borderId="26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36" xfId="1" applyFont="1" applyBorder="1" applyAlignment="1">
      <alignment horizontal="left"/>
    </xf>
    <xf numFmtId="0" fontId="12" fillId="2" borderId="29" xfId="1" applyFont="1" applyFill="1" applyBorder="1" applyAlignment="1">
      <alignment horizontal="center"/>
    </xf>
    <xf numFmtId="0" fontId="12" fillId="2" borderId="15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0" fontId="12" fillId="2" borderId="22" xfId="1" applyFont="1" applyFill="1" applyBorder="1" applyAlignment="1">
      <alignment horizontal="center"/>
    </xf>
    <xf numFmtId="0" fontId="7" fillId="0" borderId="12" xfId="1" applyFont="1" applyBorder="1" applyAlignment="1">
      <alignment horizontal="left"/>
    </xf>
    <xf numFmtId="0" fontId="7" fillId="0" borderId="34" xfId="1" applyFont="1" applyBorder="1" applyAlignment="1">
      <alignment horizontal="left"/>
    </xf>
    <xf numFmtId="0" fontId="7" fillId="0" borderId="30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0" fontId="9" fillId="0" borderId="24" xfId="1" applyFont="1" applyBorder="1" applyAlignment="1">
      <alignment horizontal="left"/>
    </xf>
    <xf numFmtId="0" fontId="9" fillId="0" borderId="27" xfId="1" applyFont="1" applyBorder="1" applyAlignment="1">
      <alignment horizontal="left"/>
    </xf>
    <xf numFmtId="0" fontId="9" fillId="0" borderId="28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>
        <row r="17">
          <cell r="C17">
            <v>729449.88000000012</v>
          </cell>
          <cell r="F17">
            <v>369892.31999999995</v>
          </cell>
          <cell r="H17">
            <v>634.53</v>
          </cell>
          <cell r="K17">
            <v>159554.85000000003</v>
          </cell>
          <cell r="O17">
            <v>210910.36000000002</v>
          </cell>
          <cell r="P17">
            <v>32967.39</v>
          </cell>
          <cell r="Q17">
            <v>19192.05</v>
          </cell>
          <cell r="T17">
            <v>12626.720000000001</v>
          </cell>
        </row>
        <row r="33">
          <cell r="C33">
            <v>716936.55999999994</v>
          </cell>
          <cell r="F33">
            <v>366729.17000000004</v>
          </cell>
          <cell r="H33">
            <v>21441.170000000002</v>
          </cell>
          <cell r="I33">
            <v>14202.59</v>
          </cell>
          <cell r="J33">
            <v>41054.9</v>
          </cell>
          <cell r="K33">
            <v>156951.65000000002</v>
          </cell>
          <cell r="M33">
            <v>2003.3999999999999</v>
          </cell>
          <cell r="N33">
            <v>434.09999999999991</v>
          </cell>
          <cell r="O33">
            <v>148724.82999999999</v>
          </cell>
          <cell r="P33">
            <v>33687.170000000006</v>
          </cell>
          <cell r="Q33">
            <v>18575.030000000002</v>
          </cell>
          <cell r="T33">
            <v>12050.83</v>
          </cell>
          <cell r="U33">
            <v>128.28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3"/>
  <sheetViews>
    <sheetView tabSelected="1" view="pageBreakPreview" zoomScale="60" zoomScaleNormal="100" workbookViewId="0">
      <selection activeCell="A64" sqref="A64:XFD93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hidden="1" customWidth="1"/>
    <col min="11" max="11" width="0" hidden="1" customWidth="1"/>
    <col min="12" max="12" width="13.5546875" style="61" hidden="1" customWidth="1"/>
    <col min="13" max="13" width="13.33203125" hidden="1" customWidth="1"/>
    <col min="14" max="16" width="0" hidden="1" customWidth="1"/>
    <col min="17" max="17" width="10.6640625" style="5" hidden="1" customWidth="1"/>
    <col min="18" max="18" width="10.88671875" hidden="1" customWidth="1"/>
    <col min="19" max="21" width="0" hidden="1" customWidth="1"/>
    <col min="22" max="22" width="9.5546875" hidden="1" customWidth="1"/>
    <col min="23" max="23" width="0" hidden="1" customWidth="1"/>
    <col min="24" max="24" width="11" hidden="1" customWidth="1"/>
    <col min="25" max="25" width="11.5546875" hidden="1" customWidth="1"/>
    <col min="26" max="26" width="0" hidden="1" customWidth="1"/>
  </cols>
  <sheetData>
    <row r="1" spans="1:26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4"/>
      <c r="M1" s="1"/>
      <c r="N1" s="1"/>
    </row>
    <row r="2" spans="1:26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4"/>
      <c r="M2" s="1"/>
      <c r="N2" s="1"/>
    </row>
    <row r="3" spans="1:26" x14ac:dyDescent="0.3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"/>
      <c r="K3" s="1"/>
      <c r="L3" s="4"/>
      <c r="M3" s="1"/>
      <c r="N3" s="1"/>
    </row>
    <row r="4" spans="1:26" ht="15" thickBot="1" x14ac:dyDescent="0.35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"/>
      <c r="K4" s="1"/>
      <c r="L4" s="4"/>
      <c r="M4" s="1"/>
      <c r="N4" s="1"/>
    </row>
    <row r="5" spans="1:26" ht="48.6" thickBot="1" x14ac:dyDescent="0.35">
      <c r="A5" s="168" t="s">
        <v>4</v>
      </c>
      <c r="B5" s="169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1"/>
      <c r="K5" s="170"/>
      <c r="L5" s="170"/>
      <c r="M5" s="1"/>
      <c r="N5" s="1"/>
    </row>
    <row r="6" spans="1:26" x14ac:dyDescent="0.3">
      <c r="A6" s="171">
        <v>1</v>
      </c>
      <c r="B6" s="172"/>
      <c r="C6" s="8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10">
        <v>8</v>
      </c>
      <c r="J6" s="11"/>
      <c r="K6" s="12"/>
      <c r="L6" s="13"/>
      <c r="M6" s="1"/>
      <c r="N6" s="1"/>
    </row>
    <row r="7" spans="1:26" x14ac:dyDescent="0.3">
      <c r="A7" s="173" t="s">
        <v>12</v>
      </c>
      <c r="B7" s="174"/>
      <c r="C7" s="174"/>
      <c r="D7" s="174"/>
      <c r="E7" s="174"/>
      <c r="F7" s="174"/>
      <c r="G7" s="174"/>
      <c r="H7" s="174"/>
      <c r="I7" s="175"/>
      <c r="J7" s="11"/>
      <c r="K7" s="12"/>
      <c r="L7" s="13"/>
      <c r="M7" s="1"/>
      <c r="N7" s="1"/>
      <c r="V7">
        <v>62</v>
      </c>
      <c r="Y7" t="s">
        <v>13</v>
      </c>
    </row>
    <row r="8" spans="1:26" x14ac:dyDescent="0.3">
      <c r="A8" s="161" t="s">
        <v>14</v>
      </c>
      <c r="B8" s="162"/>
      <c r="C8" s="14">
        <v>-33259.160000000033</v>
      </c>
      <c r="D8" s="15">
        <v>214146.62999999989</v>
      </c>
      <c r="E8" s="16">
        <f>SUM(E9:E11)</f>
        <v>959247.6399999999</v>
      </c>
      <c r="F8" s="17">
        <v>959247.64</v>
      </c>
      <c r="G8" s="17">
        <f>SUM(G9:G11)</f>
        <v>944520.34</v>
      </c>
      <c r="H8" s="14">
        <f>C8+E8-F8</f>
        <v>-33259.160000000149</v>
      </c>
      <c r="I8" s="18">
        <f>D8+E8-G8</f>
        <v>228873.92999999982</v>
      </c>
      <c r="J8" s="19"/>
      <c r="K8" s="20"/>
      <c r="L8" s="21">
        <f>[1]Бон11!$C$17</f>
        <v>729449.88000000012</v>
      </c>
      <c r="M8" s="20">
        <f>[1]Бон11!$C$33</f>
        <v>716936.55999999994</v>
      </c>
      <c r="N8" s="20">
        <v>2546.62</v>
      </c>
      <c r="O8">
        <v>1632.44</v>
      </c>
      <c r="Q8" s="22">
        <f>H8-I8</f>
        <v>-262133.08999999997</v>
      </c>
      <c r="R8">
        <v>139744.98000000001</v>
      </c>
      <c r="V8">
        <v>262133.09</v>
      </c>
      <c r="W8" s="23">
        <f>V8+Q8</f>
        <v>0</v>
      </c>
      <c r="Y8" s="23"/>
    </row>
    <row r="9" spans="1:26" hidden="1" x14ac:dyDescent="0.3">
      <c r="A9" s="143" t="s">
        <v>15</v>
      </c>
      <c r="B9" s="144"/>
      <c r="C9" s="24"/>
      <c r="D9" s="25">
        <v>212875.21999999986</v>
      </c>
      <c r="E9" s="26">
        <v>955625.82</v>
      </c>
      <c r="F9" s="26"/>
      <c r="G9" s="26">
        <v>940927.58</v>
      </c>
      <c r="H9" s="24"/>
      <c r="I9" s="25">
        <f>D9+E9-G9</f>
        <v>227573.45999999985</v>
      </c>
      <c r="J9" s="19"/>
      <c r="K9" s="20"/>
      <c r="L9" s="21"/>
      <c r="M9" s="20"/>
      <c r="N9" s="20"/>
      <c r="Y9">
        <v>227573.46</v>
      </c>
      <c r="Z9" s="23">
        <f>Y9-I9</f>
        <v>0</v>
      </c>
    </row>
    <row r="10" spans="1:26" hidden="1" x14ac:dyDescent="0.3">
      <c r="A10" s="145" t="s">
        <v>16</v>
      </c>
      <c r="B10" s="146"/>
      <c r="C10" s="27"/>
      <c r="D10" s="27">
        <v>289.71000000000004</v>
      </c>
      <c r="E10" s="28">
        <v>3621.82</v>
      </c>
      <c r="F10" s="28"/>
      <c r="G10" s="28">
        <v>3592.76</v>
      </c>
      <c r="H10" s="29"/>
      <c r="I10" s="30">
        <f>D10+E10-G10</f>
        <v>318.77</v>
      </c>
      <c r="J10" s="19"/>
      <c r="K10" s="20"/>
      <c r="L10" s="21"/>
      <c r="M10" s="20"/>
      <c r="N10" s="20"/>
      <c r="W10" s="31"/>
    </row>
    <row r="11" spans="1:26" ht="15" hidden="1" thickBot="1" x14ac:dyDescent="0.35">
      <c r="A11" s="148" t="s">
        <v>17</v>
      </c>
      <c r="B11" s="149"/>
      <c r="C11" s="32"/>
      <c r="D11" s="33">
        <v>981.69999999999993</v>
      </c>
      <c r="E11" s="34"/>
      <c r="F11" s="34"/>
      <c r="G11" s="34"/>
      <c r="H11" s="35"/>
      <c r="I11" s="36">
        <f>D11+E11-G11</f>
        <v>981.69999999999993</v>
      </c>
      <c r="J11" s="19"/>
      <c r="K11" s="20"/>
      <c r="L11" s="21"/>
      <c r="M11" s="20"/>
      <c r="N11" s="20"/>
    </row>
    <row r="12" spans="1:26" x14ac:dyDescent="0.3">
      <c r="A12" s="163"/>
      <c r="B12" s="164"/>
      <c r="C12" s="37"/>
      <c r="D12" s="38"/>
      <c r="E12" s="39"/>
      <c r="F12" s="40"/>
      <c r="G12" s="40"/>
      <c r="H12" s="37"/>
      <c r="I12" s="38"/>
      <c r="J12" s="19"/>
      <c r="K12" s="20"/>
      <c r="L12" s="21"/>
      <c r="M12" s="20"/>
      <c r="N12" s="20"/>
    </row>
    <row r="13" spans="1:26" ht="15" thickBot="1" x14ac:dyDescent="0.35">
      <c r="A13" s="165" t="s">
        <v>18</v>
      </c>
      <c r="B13" s="166"/>
      <c r="C13" s="14">
        <v>520851.38999999966</v>
      </c>
      <c r="D13" s="15">
        <v>163819.01000000024</v>
      </c>
      <c r="E13" s="16">
        <f>SUM(E14:E17)</f>
        <v>560023.94000000006</v>
      </c>
      <c r="F13" s="17">
        <v>956998</v>
      </c>
      <c r="G13" s="17">
        <f>SUM(G14:G17)</f>
        <v>593121.83000000007</v>
      </c>
      <c r="H13" s="14">
        <f>C13+E13-F13</f>
        <v>123877.32999999961</v>
      </c>
      <c r="I13" s="15">
        <f>D13+E13-G13</f>
        <v>130721.12000000023</v>
      </c>
      <c r="J13" s="19"/>
      <c r="K13" s="41"/>
      <c r="L13" s="42">
        <f>[1]Бон11!$F$17</f>
        <v>369892.31999999995</v>
      </c>
      <c r="M13" s="43">
        <f>[1]Бон11!$F$33</f>
        <v>366729.17000000004</v>
      </c>
      <c r="N13" s="43">
        <f>84.34+621.74</f>
        <v>706.08</v>
      </c>
      <c r="Q13" s="22">
        <f>H13-I13</f>
        <v>-6843.7900000006193</v>
      </c>
      <c r="R13">
        <v>163159.85</v>
      </c>
      <c r="V13">
        <v>6843.79</v>
      </c>
      <c r="W13" s="23">
        <f>V13+Q13</f>
        <v>-6.1936589190736413E-10</v>
      </c>
    </row>
    <row r="14" spans="1:26" ht="15" hidden="1" thickBot="1" x14ac:dyDescent="0.35">
      <c r="A14" s="154" t="s">
        <v>15</v>
      </c>
      <c r="B14" s="155"/>
      <c r="C14" s="44"/>
      <c r="D14" s="24">
        <v>162907.25</v>
      </c>
      <c r="E14" s="26">
        <v>552214.4</v>
      </c>
      <c r="F14" s="26"/>
      <c r="G14" s="26">
        <v>585244.77</v>
      </c>
      <c r="H14" s="24"/>
      <c r="I14" s="25">
        <f>D14+E14-G14</f>
        <v>129876.88</v>
      </c>
      <c r="J14" s="19"/>
      <c r="K14" s="41"/>
      <c r="L14" s="42"/>
      <c r="M14" s="43"/>
      <c r="N14" s="43"/>
      <c r="Q14" s="22">
        <f>C13-D13</f>
        <v>357032.37999999942</v>
      </c>
      <c r="Y14">
        <v>129876.88</v>
      </c>
      <c r="Z14" s="23">
        <f>Y14-I14</f>
        <v>0</v>
      </c>
    </row>
    <row r="15" spans="1:26" ht="15" hidden="1" thickBot="1" x14ac:dyDescent="0.35">
      <c r="A15" s="145" t="s">
        <v>16</v>
      </c>
      <c r="B15" s="147"/>
      <c r="C15" s="45"/>
      <c r="D15" s="29">
        <v>202.53999999999951</v>
      </c>
      <c r="E15" s="46">
        <v>2092.88</v>
      </c>
      <c r="F15" s="46"/>
      <c r="G15" s="46">
        <v>2160.4</v>
      </c>
      <c r="H15" s="29"/>
      <c r="I15" s="30">
        <f>D15+E15-G15</f>
        <v>135.01999999999953</v>
      </c>
      <c r="J15" s="19"/>
      <c r="K15" s="41"/>
      <c r="L15" s="42"/>
      <c r="M15" s="43"/>
      <c r="N15" s="43"/>
      <c r="W15" s="31"/>
    </row>
    <row r="16" spans="1:26" ht="15" hidden="1" thickBot="1" x14ac:dyDescent="0.35">
      <c r="A16" s="156" t="s">
        <v>17</v>
      </c>
      <c r="B16" s="157"/>
      <c r="C16" s="47"/>
      <c r="D16" s="48">
        <v>709.22</v>
      </c>
      <c r="E16" s="49"/>
      <c r="F16" s="49"/>
      <c r="G16" s="49"/>
      <c r="H16" s="35"/>
      <c r="I16" s="36">
        <f>D16+E16-G16</f>
        <v>709.22</v>
      </c>
      <c r="J16" s="19"/>
      <c r="K16" s="41"/>
      <c r="L16" s="42"/>
      <c r="M16" s="43"/>
      <c r="N16" s="43"/>
    </row>
    <row r="17" spans="1:26" x14ac:dyDescent="0.3">
      <c r="A17" s="158" t="s">
        <v>19</v>
      </c>
      <c r="B17" s="159"/>
      <c r="C17" s="160"/>
      <c r="D17" s="50"/>
      <c r="E17" s="51">
        <f>500*11+216.66</f>
        <v>5716.66</v>
      </c>
      <c r="F17" s="52"/>
      <c r="G17" s="52">
        <f>500*11+216.66</f>
        <v>5716.66</v>
      </c>
      <c r="H17" s="53"/>
      <c r="I17" s="50"/>
      <c r="J17" s="1"/>
      <c r="K17" s="1"/>
      <c r="L17" s="4"/>
      <c r="M17" s="1"/>
      <c r="N17" s="1"/>
      <c r="Q17" s="22">
        <f>H17-I17</f>
        <v>0</v>
      </c>
    </row>
    <row r="18" spans="1:26" x14ac:dyDescent="0.3">
      <c r="A18" s="152" t="s">
        <v>20</v>
      </c>
      <c r="B18" s="153"/>
      <c r="C18" s="54">
        <v>-984.99000000001979</v>
      </c>
      <c r="D18" s="15">
        <v>44433.180000000022</v>
      </c>
      <c r="E18" s="16">
        <f>SUM(E19:E21)</f>
        <v>189407.07</v>
      </c>
      <c r="F18" s="16">
        <v>189407.07</v>
      </c>
      <c r="G18" s="17">
        <f>SUM(G19:G21)</f>
        <v>186856.04</v>
      </c>
      <c r="H18" s="54">
        <f>C18+E18-F18</f>
        <v>-984.99000000001979</v>
      </c>
      <c r="I18" s="15">
        <f>D18+E18-G18</f>
        <v>46984.210000000021</v>
      </c>
      <c r="J18" s="1"/>
      <c r="K18" s="1"/>
      <c r="L18" s="4">
        <f>[1]Бон11!$K$17</f>
        <v>159554.85000000003</v>
      </c>
      <c r="M18" s="1">
        <f>[1]Бон11!$K$33</f>
        <v>156951.65000000002</v>
      </c>
      <c r="N18" s="1">
        <v>295.8</v>
      </c>
      <c r="O18">
        <v>356.7</v>
      </c>
      <c r="Q18" s="22">
        <f>H18-I18</f>
        <v>-47969.200000000041</v>
      </c>
      <c r="R18">
        <v>36133.800000000003</v>
      </c>
      <c r="V18">
        <v>47969.2</v>
      </c>
      <c r="W18" s="23">
        <f>V18+Q18</f>
        <v>0</v>
      </c>
      <c r="Y18" s="55"/>
    </row>
    <row r="19" spans="1:26" hidden="1" x14ac:dyDescent="0.3">
      <c r="A19" s="143" t="s">
        <v>15</v>
      </c>
      <c r="B19" s="144"/>
      <c r="C19" s="24"/>
      <c r="D19" s="25">
        <v>44166.960000000021</v>
      </c>
      <c r="E19" s="26">
        <v>188691.93</v>
      </c>
      <c r="F19" s="26"/>
      <c r="G19" s="26">
        <v>186146.12</v>
      </c>
      <c r="H19" s="24"/>
      <c r="I19" s="25">
        <f>D19+E19-G19</f>
        <v>46712.770000000019</v>
      </c>
      <c r="J19" s="1"/>
      <c r="K19" s="1"/>
      <c r="L19" s="4"/>
      <c r="M19" s="1"/>
      <c r="N19" s="1"/>
      <c r="Y19">
        <v>46712.77</v>
      </c>
      <c r="Z19" s="23">
        <f>Y19-I19</f>
        <v>0</v>
      </c>
    </row>
    <row r="20" spans="1:26" hidden="1" x14ac:dyDescent="0.3">
      <c r="A20" s="145" t="s">
        <v>16</v>
      </c>
      <c r="B20" s="146"/>
      <c r="C20" s="27"/>
      <c r="D20" s="27">
        <v>57.420000000000073</v>
      </c>
      <c r="E20" s="28">
        <v>715.14</v>
      </c>
      <c r="F20" s="28"/>
      <c r="G20" s="28">
        <v>709.92</v>
      </c>
      <c r="H20" s="29"/>
      <c r="I20" s="30">
        <f>D20+E20-G20</f>
        <v>62.6400000000001</v>
      </c>
      <c r="J20" s="1"/>
      <c r="K20" s="1"/>
      <c r="L20" s="4"/>
      <c r="M20" s="1"/>
      <c r="N20" s="1"/>
      <c r="W20" s="31"/>
    </row>
    <row r="21" spans="1:26" ht="15" hidden="1" thickBot="1" x14ac:dyDescent="0.35">
      <c r="A21" s="148" t="s">
        <v>17</v>
      </c>
      <c r="B21" s="149"/>
      <c r="C21" s="32"/>
      <c r="D21" s="56">
        <v>208.79999999999998</v>
      </c>
      <c r="E21" s="34"/>
      <c r="F21" s="34"/>
      <c r="G21" s="34"/>
      <c r="H21" s="35"/>
      <c r="I21" s="36">
        <f>D21+E21-G21</f>
        <v>208.79999999999998</v>
      </c>
      <c r="J21" s="1"/>
      <c r="K21" s="1"/>
      <c r="L21" s="4"/>
      <c r="M21" s="1"/>
      <c r="N21" s="1"/>
    </row>
    <row r="22" spans="1:26" x14ac:dyDescent="0.3">
      <c r="A22" s="150"/>
      <c r="B22" s="151"/>
      <c r="C22" s="37"/>
      <c r="D22" s="38"/>
      <c r="E22" s="39"/>
      <c r="F22" s="39"/>
      <c r="G22" s="40"/>
      <c r="H22" s="37"/>
      <c r="I22" s="37"/>
      <c r="J22" s="1"/>
      <c r="K22" s="1"/>
      <c r="L22" s="4"/>
      <c r="M22" s="1"/>
      <c r="N22" s="1"/>
    </row>
    <row r="23" spans="1:26" x14ac:dyDescent="0.3">
      <c r="A23" s="152" t="s">
        <v>21</v>
      </c>
      <c r="B23" s="153"/>
      <c r="C23" s="57">
        <v>0</v>
      </c>
      <c r="D23" s="15">
        <v>11102.98</v>
      </c>
      <c r="E23" s="16">
        <f>SUM(E24:E26)</f>
        <v>34146.21</v>
      </c>
      <c r="F23" s="16">
        <v>34146.21</v>
      </c>
      <c r="G23" s="17">
        <f>SUM(G24:G26)</f>
        <v>38024.5</v>
      </c>
      <c r="H23" s="57">
        <f>C23+E23-F23</f>
        <v>0</v>
      </c>
      <c r="I23" s="58">
        <f>D23+E23-G23</f>
        <v>7224.6900000000023</v>
      </c>
      <c r="J23" s="59">
        <v>8353.15</v>
      </c>
      <c r="K23" s="60">
        <f>F23-J23</f>
        <v>25793.059999999998</v>
      </c>
      <c r="L23" s="61">
        <f>[1]Бон11!$Q$17</f>
        <v>19192.05</v>
      </c>
      <c r="M23">
        <f>[1]Бон11!$Q$33</f>
        <v>18575.030000000002</v>
      </c>
      <c r="N23">
        <v>195.24</v>
      </c>
      <c r="O23">
        <v>34.090000000000003</v>
      </c>
      <c r="Q23" s="22">
        <f>H23-I23</f>
        <v>-7224.6900000000023</v>
      </c>
      <c r="R23">
        <v>3657.25</v>
      </c>
      <c r="V23">
        <v>7487.7</v>
      </c>
      <c r="W23" s="23">
        <f>V23+Q23</f>
        <v>263.00999999999749</v>
      </c>
    </row>
    <row r="24" spans="1:26" hidden="1" x14ac:dyDescent="0.3">
      <c r="A24" s="143" t="s">
        <v>15</v>
      </c>
      <c r="B24" s="144"/>
      <c r="C24" s="24"/>
      <c r="D24" s="25">
        <v>11052.69</v>
      </c>
      <c r="E24" s="26">
        <v>34017.46</v>
      </c>
      <c r="F24" s="26"/>
      <c r="G24" s="26">
        <v>37869.82</v>
      </c>
      <c r="H24" s="24"/>
      <c r="I24" s="25">
        <f>D24+E24-G24</f>
        <v>7200.3300000000017</v>
      </c>
      <c r="J24" s="59"/>
      <c r="K24" s="62"/>
      <c r="Y24">
        <f>7200.33</f>
        <v>7200.33</v>
      </c>
      <c r="Z24" s="23">
        <f>Y24-I24</f>
        <v>0</v>
      </c>
    </row>
    <row r="25" spans="1:26" hidden="1" x14ac:dyDescent="0.3">
      <c r="A25" s="145" t="s">
        <v>16</v>
      </c>
      <c r="B25" s="147"/>
      <c r="C25" s="29"/>
      <c r="D25" s="27">
        <v>25.929999999999993</v>
      </c>
      <c r="E25" s="28">
        <v>128.75</v>
      </c>
      <c r="F25" s="28"/>
      <c r="G25" s="28">
        <v>154.68</v>
      </c>
      <c r="H25" s="29"/>
      <c r="I25" s="63">
        <f>D25+E25-G25</f>
        <v>0</v>
      </c>
      <c r="J25" s="59"/>
      <c r="K25" s="62"/>
      <c r="W25" s="31"/>
    </row>
    <row r="26" spans="1:26" ht="15" hidden="1" thickBot="1" x14ac:dyDescent="0.35">
      <c r="A26" s="148" t="s">
        <v>17</v>
      </c>
      <c r="B26" s="149"/>
      <c r="C26" s="35"/>
      <c r="D26" s="56">
        <v>24.359999999999996</v>
      </c>
      <c r="E26" s="34"/>
      <c r="F26" s="34"/>
      <c r="G26" s="34"/>
      <c r="H26" s="35"/>
      <c r="I26" s="36">
        <f>D26+E26-G26</f>
        <v>24.359999999999996</v>
      </c>
      <c r="J26" s="59"/>
      <c r="K26" s="62"/>
    </row>
    <row r="27" spans="1:26" x14ac:dyDescent="0.3">
      <c r="A27" s="150"/>
      <c r="B27" s="151"/>
      <c r="C27" s="37"/>
      <c r="D27" s="38"/>
      <c r="E27" s="39"/>
      <c r="F27" s="39"/>
      <c r="G27" s="40"/>
      <c r="H27" s="37"/>
      <c r="I27" s="37"/>
      <c r="J27" s="59"/>
      <c r="K27" s="64"/>
    </row>
    <row r="28" spans="1:26" x14ac:dyDescent="0.3">
      <c r="A28" s="152" t="s">
        <v>22</v>
      </c>
      <c r="B28" s="153"/>
      <c r="C28" s="57">
        <v>-4.0017766878008842E-11</v>
      </c>
      <c r="D28" s="15">
        <v>7556.15</v>
      </c>
      <c r="E28" s="16">
        <f>SUM(E29:E31)</f>
        <v>28460.780000000002</v>
      </c>
      <c r="F28" s="16">
        <v>28460.78</v>
      </c>
      <c r="G28" s="17">
        <f>SUM(G29:G31)</f>
        <v>30795.03</v>
      </c>
      <c r="H28" s="57">
        <f>C28+E28-F28</f>
        <v>-3.637978807091713E-11</v>
      </c>
      <c r="I28" s="58">
        <f>D28+E28-G28</f>
        <v>5221.9000000000015</v>
      </c>
      <c r="J28" s="59">
        <v>11752.58</v>
      </c>
      <c r="K28" s="60">
        <f>F28-J28</f>
        <v>16708.199999999997</v>
      </c>
      <c r="L28" s="61">
        <f>[1]Бон11!$T$17</f>
        <v>12626.720000000001</v>
      </c>
      <c r="M28">
        <f>[1]Бон11!$T$33</f>
        <v>12050.83</v>
      </c>
      <c r="N28">
        <v>99.66</v>
      </c>
      <c r="O28">
        <v>21.91</v>
      </c>
      <c r="Q28" s="22">
        <f>H28-I28</f>
        <v>-5221.9000000000378</v>
      </c>
      <c r="R28">
        <v>1373.65</v>
      </c>
      <c r="V28">
        <f>5335.76</f>
        <v>5335.76</v>
      </c>
      <c r="W28" s="23">
        <f>V28+Q28</f>
        <v>113.85999999996238</v>
      </c>
    </row>
    <row r="29" spans="1:26" hidden="1" x14ac:dyDescent="0.3">
      <c r="A29" s="143" t="s">
        <v>15</v>
      </c>
      <c r="B29" s="144"/>
      <c r="C29" s="24"/>
      <c r="D29" s="25">
        <v>7520.84</v>
      </c>
      <c r="E29" s="26">
        <v>28353.24</v>
      </c>
      <c r="F29" s="26"/>
      <c r="G29" s="26">
        <v>30668.18</v>
      </c>
      <c r="H29" s="24"/>
      <c r="I29" s="25">
        <f>D29+E29-G29</f>
        <v>5205.9000000000015</v>
      </c>
      <c r="J29" s="59"/>
      <c r="K29" s="62"/>
      <c r="Y29">
        <f>5205.9</f>
        <v>5205.8999999999996</v>
      </c>
      <c r="Z29" s="23">
        <f>Y29-I29</f>
        <v>0</v>
      </c>
    </row>
    <row r="30" spans="1:26" hidden="1" x14ac:dyDescent="0.3">
      <c r="A30" s="145" t="s">
        <v>16</v>
      </c>
      <c r="B30" s="147"/>
      <c r="C30" s="29"/>
      <c r="D30" s="27">
        <v>19.310000000000002</v>
      </c>
      <c r="E30" s="28">
        <v>107.54</v>
      </c>
      <c r="F30" s="28"/>
      <c r="G30" s="28">
        <v>126.85</v>
      </c>
      <c r="H30" s="29"/>
      <c r="I30" s="63">
        <f>D30+E30-G30</f>
        <v>0</v>
      </c>
      <c r="J30" s="59"/>
      <c r="K30" s="62"/>
      <c r="W30" s="31"/>
    </row>
    <row r="31" spans="1:26" ht="15" hidden="1" thickBot="1" x14ac:dyDescent="0.35">
      <c r="A31" s="148" t="s">
        <v>17</v>
      </c>
      <c r="B31" s="149"/>
      <c r="C31" s="35"/>
      <c r="D31" s="56">
        <v>16</v>
      </c>
      <c r="E31" s="34"/>
      <c r="F31" s="34"/>
      <c r="G31" s="34"/>
      <c r="H31" s="35"/>
      <c r="I31" s="36">
        <f>D31+E31-G31</f>
        <v>16</v>
      </c>
      <c r="J31" s="59"/>
      <c r="K31" s="62"/>
    </row>
    <row r="32" spans="1:26" x14ac:dyDescent="0.3">
      <c r="A32" s="150"/>
      <c r="B32" s="151"/>
      <c r="C32" s="37"/>
      <c r="D32" s="38"/>
      <c r="E32" s="39"/>
      <c r="F32" s="39"/>
      <c r="G32" s="40"/>
      <c r="H32" s="37"/>
      <c r="I32" s="37"/>
      <c r="J32" s="59"/>
      <c r="K32" s="64"/>
    </row>
    <row r="33" spans="1:26" x14ac:dyDescent="0.3">
      <c r="A33" s="152" t="s">
        <v>23</v>
      </c>
      <c r="B33" s="153"/>
      <c r="C33" s="57">
        <v>-5.0931703299283981E-11</v>
      </c>
      <c r="D33" s="15">
        <v>10822.900000000001</v>
      </c>
      <c r="E33" s="16">
        <f>SUM(E34:E36)</f>
        <v>46424.76</v>
      </c>
      <c r="F33" s="16">
        <v>46424.76</v>
      </c>
      <c r="G33" s="17">
        <f>SUM(G34:G36)</f>
        <v>42966.17</v>
      </c>
      <c r="H33" s="57">
        <f>C33+E33-F33</f>
        <v>0</v>
      </c>
      <c r="I33" s="58">
        <f>D33+E33-G33</f>
        <v>14281.490000000005</v>
      </c>
      <c r="J33" s="59">
        <v>24726.6</v>
      </c>
      <c r="K33" s="60">
        <f>F33-J33</f>
        <v>21698.160000000003</v>
      </c>
      <c r="L33" s="61">
        <f>[1]Бон11!$P$17</f>
        <v>32967.39</v>
      </c>
      <c r="M33">
        <f>[1]Бон11!$P$33</f>
        <v>33687.170000000006</v>
      </c>
      <c r="N33">
        <f>77.06+244.59</f>
        <v>321.64999999999998</v>
      </c>
      <c r="O33">
        <v>86.45</v>
      </c>
      <c r="Q33" s="22">
        <f>H33-I33</f>
        <v>-14281.490000000005</v>
      </c>
      <c r="R33">
        <v>9487.67</v>
      </c>
      <c r="V33">
        <v>14674.03</v>
      </c>
      <c r="W33" s="23">
        <f>V33+Q33</f>
        <v>392.53999999999542</v>
      </c>
    </row>
    <row r="34" spans="1:26" hidden="1" x14ac:dyDescent="0.3">
      <c r="A34" s="143" t="s">
        <v>15</v>
      </c>
      <c r="B34" s="144"/>
      <c r="C34" s="24"/>
      <c r="D34" s="25">
        <v>10769.469999999998</v>
      </c>
      <c r="E34" s="26">
        <v>46249.54</v>
      </c>
      <c r="F34" s="26"/>
      <c r="G34" s="26">
        <v>42792</v>
      </c>
      <c r="H34" s="24"/>
      <c r="I34" s="25">
        <f>D34+E34-G34</f>
        <v>14227.009999999995</v>
      </c>
      <c r="J34" s="59"/>
      <c r="K34" s="62"/>
      <c r="Y34">
        <f>14227.01</f>
        <v>14227.01</v>
      </c>
      <c r="Z34" s="23">
        <f>Y34-I34</f>
        <v>0</v>
      </c>
    </row>
    <row r="35" spans="1:26" hidden="1" x14ac:dyDescent="0.3">
      <c r="A35" s="145" t="s">
        <v>16</v>
      </c>
      <c r="B35" s="147"/>
      <c r="C35" s="29"/>
      <c r="D35" s="27">
        <v>12.349999999999994</v>
      </c>
      <c r="E35" s="28">
        <v>175.22</v>
      </c>
      <c r="F35" s="28"/>
      <c r="G35" s="28">
        <v>174.17</v>
      </c>
      <c r="H35" s="29"/>
      <c r="I35" s="63">
        <f>D35+E35-G35</f>
        <v>13.400000000000006</v>
      </c>
      <c r="J35" s="59"/>
      <c r="K35" s="62"/>
      <c r="W35" s="31"/>
    </row>
    <row r="36" spans="1:26" ht="15" hidden="1" thickBot="1" x14ac:dyDescent="0.35">
      <c r="A36" s="148" t="s">
        <v>17</v>
      </c>
      <c r="B36" s="149"/>
      <c r="C36" s="35"/>
      <c r="D36" s="56">
        <v>41.079999999999984</v>
      </c>
      <c r="E36" s="34"/>
      <c r="F36" s="34"/>
      <c r="G36" s="34"/>
      <c r="H36" s="35"/>
      <c r="I36" s="36">
        <f>D36+E36-G36</f>
        <v>41.079999999999984</v>
      </c>
      <c r="J36" s="59"/>
      <c r="K36" s="62"/>
    </row>
    <row r="37" spans="1:26" x14ac:dyDescent="0.3">
      <c r="A37" s="150"/>
      <c r="B37" s="151"/>
      <c r="C37" s="37"/>
      <c r="D37" s="38"/>
      <c r="E37" s="39"/>
      <c r="F37" s="39"/>
      <c r="G37" s="40"/>
      <c r="H37" s="37"/>
      <c r="I37" s="37"/>
      <c r="J37" s="59"/>
      <c r="K37" s="64"/>
    </row>
    <row r="38" spans="1:26" x14ac:dyDescent="0.3">
      <c r="A38" s="117" t="s">
        <v>24</v>
      </c>
      <c r="B38" s="118"/>
      <c r="C38" s="65">
        <v>-2304.8500000000145</v>
      </c>
      <c r="D38" s="66">
        <v>6139.98</v>
      </c>
      <c r="E38" s="39"/>
      <c r="F38" s="39"/>
      <c r="G38" s="39"/>
      <c r="H38" s="65">
        <f>C38+E38-F38</f>
        <v>-2304.8500000000145</v>
      </c>
      <c r="I38" s="38">
        <f>D38+E38-G38</f>
        <v>6139.98</v>
      </c>
      <c r="J38" s="64">
        <v>151998.72</v>
      </c>
      <c r="K38" s="60">
        <f>F38-J38</f>
        <v>-151998.72</v>
      </c>
      <c r="M38">
        <f>[1]Бон11!$M$33+[1]Бон11!$N$33</f>
        <v>2437.5</v>
      </c>
      <c r="Q38" s="22">
        <f>H38-I38</f>
        <v>-8444.8300000000145</v>
      </c>
      <c r="Y38">
        <f>4980.58+1159.4</f>
        <v>6139.98</v>
      </c>
      <c r="Z38" s="23">
        <f>Y38-I38</f>
        <v>0</v>
      </c>
    </row>
    <row r="39" spans="1:26" x14ac:dyDescent="0.3">
      <c r="A39" s="117"/>
      <c r="B39" s="136"/>
      <c r="C39" s="37"/>
      <c r="D39" s="38"/>
      <c r="E39" s="67"/>
      <c r="F39" s="68"/>
      <c r="G39" s="40"/>
      <c r="H39" s="37"/>
      <c r="I39" s="38"/>
      <c r="J39" s="1"/>
      <c r="K39" s="1"/>
      <c r="L39" s="4"/>
      <c r="M39" s="1"/>
      <c r="N39" s="1"/>
      <c r="W39" s="31"/>
    </row>
    <row r="40" spans="1:26" ht="15" thickBot="1" x14ac:dyDescent="0.35">
      <c r="A40" s="137"/>
      <c r="B40" s="138"/>
      <c r="C40" s="69"/>
      <c r="D40" s="70"/>
      <c r="E40" s="71"/>
      <c r="F40" s="71"/>
      <c r="G40" s="71"/>
      <c r="H40" s="69"/>
      <c r="I40" s="70"/>
      <c r="J40" s="1"/>
      <c r="K40" s="1"/>
      <c r="L40" s="4"/>
      <c r="M40" s="1"/>
      <c r="N40" s="1"/>
    </row>
    <row r="41" spans="1:26" ht="15" thickBot="1" x14ac:dyDescent="0.35">
      <c r="A41" s="127" t="s">
        <v>25</v>
      </c>
      <c r="B41" s="139"/>
      <c r="C41" s="72">
        <f t="shared" ref="C41:I41" si="0">C8+C13+C18+C23+C28+C33+C38</f>
        <v>484302.38999999949</v>
      </c>
      <c r="D41" s="72">
        <f t="shared" si="0"/>
        <v>458020.83000000019</v>
      </c>
      <c r="E41" s="73">
        <f t="shared" si="0"/>
        <v>1817710.4000000001</v>
      </c>
      <c r="F41" s="73">
        <f t="shared" si="0"/>
        <v>2214684.4599999995</v>
      </c>
      <c r="G41" s="73">
        <f t="shared" si="0"/>
        <v>1836283.91</v>
      </c>
      <c r="H41" s="72">
        <f t="shared" si="0"/>
        <v>87328.329999999391</v>
      </c>
      <c r="I41" s="72">
        <f t="shared" si="0"/>
        <v>439447.32000000007</v>
      </c>
      <c r="J41" s="1"/>
      <c r="K41" s="1"/>
      <c r="L41" s="4"/>
      <c r="M41" s="1"/>
      <c r="N41" s="1"/>
    </row>
    <row r="42" spans="1:26" x14ac:dyDescent="0.3">
      <c r="A42" s="74"/>
      <c r="B42" s="75"/>
      <c r="C42" s="76"/>
      <c r="D42" s="76"/>
      <c r="E42" s="76"/>
      <c r="F42" s="76"/>
      <c r="G42" s="76"/>
      <c r="H42" s="76"/>
      <c r="I42" s="77"/>
      <c r="J42" s="1"/>
      <c r="K42" s="1"/>
      <c r="L42" s="4"/>
      <c r="M42" s="1"/>
      <c r="N42" s="1"/>
    </row>
    <row r="43" spans="1:26" ht="32.4" customHeight="1" x14ac:dyDescent="0.3">
      <c r="A43" s="140" t="s">
        <v>26</v>
      </c>
      <c r="B43" s="141"/>
      <c r="C43" s="78">
        <v>1226995.4400000002</v>
      </c>
      <c r="D43" s="78">
        <v>142406.96000000008</v>
      </c>
      <c r="E43" s="78">
        <f>SUM(E44:E47)</f>
        <v>763186.37</v>
      </c>
      <c r="F43" s="78"/>
      <c r="G43" s="78">
        <f>SUM(G44:G47)</f>
        <v>751777.62</v>
      </c>
      <c r="H43" s="78">
        <f>C43+E43-F43</f>
        <v>1990181.81</v>
      </c>
      <c r="I43" s="78">
        <f>D43+E43-G43</f>
        <v>153815.71000000008</v>
      </c>
      <c r="J43" s="19"/>
      <c r="K43" s="43"/>
      <c r="L43" s="42">
        <f>[1]Бон11!$O$17</f>
        <v>210910.36000000002</v>
      </c>
      <c r="M43" s="43">
        <f>[1]Бон11!$O$33</f>
        <v>148724.82999999999</v>
      </c>
      <c r="N43" s="43"/>
      <c r="R43" s="142"/>
      <c r="S43" s="142"/>
      <c r="T43" s="142"/>
      <c r="U43" s="142"/>
    </row>
    <row r="44" spans="1:26" ht="17.25" hidden="1" customHeight="1" x14ac:dyDescent="0.3">
      <c r="A44" s="143" t="s">
        <v>15</v>
      </c>
      <c r="B44" s="144"/>
      <c r="C44" s="79"/>
      <c r="D44" s="24">
        <v>141462.14000000001</v>
      </c>
      <c r="E44" s="24">
        <v>760277.88</v>
      </c>
      <c r="F44" s="24"/>
      <c r="G44" s="24">
        <v>748891.75</v>
      </c>
      <c r="H44" s="80"/>
      <c r="I44" s="81">
        <f>D44+E44-G44</f>
        <v>152848.27000000002</v>
      </c>
      <c r="J44" s="19"/>
      <c r="K44" s="43"/>
      <c r="L44" s="42"/>
      <c r="M44" s="43"/>
      <c r="N44" s="43"/>
      <c r="R44" s="142"/>
      <c r="S44" s="142"/>
      <c r="T44" s="142"/>
      <c r="U44" s="142"/>
      <c r="Y44">
        <f>152848.27</f>
        <v>152848.26999999999</v>
      </c>
      <c r="Z44" s="23">
        <f>Y44-I44</f>
        <v>0</v>
      </c>
    </row>
    <row r="45" spans="1:26" ht="17.25" hidden="1" customHeight="1" x14ac:dyDescent="0.3">
      <c r="A45" s="145" t="s">
        <v>27</v>
      </c>
      <c r="B45" s="146"/>
      <c r="C45" s="27"/>
      <c r="D45" s="27">
        <v>0</v>
      </c>
      <c r="E45" s="27">
        <v>27.05</v>
      </c>
      <c r="F45" s="27"/>
      <c r="G45" s="27">
        <v>27.05</v>
      </c>
      <c r="H45" s="82"/>
      <c r="I45" s="83">
        <f>D45+E45-G45</f>
        <v>0</v>
      </c>
      <c r="J45" s="19"/>
      <c r="K45" s="43"/>
      <c r="L45" s="42"/>
      <c r="M45" s="43"/>
      <c r="N45" s="43"/>
      <c r="Q45" s="22"/>
      <c r="R45" s="142"/>
      <c r="S45" s="142"/>
      <c r="T45" s="142"/>
      <c r="U45" s="142"/>
      <c r="V45" s="23"/>
      <c r="X45" s="31"/>
    </row>
    <row r="46" spans="1:26" ht="17.25" hidden="1" customHeight="1" x14ac:dyDescent="0.3">
      <c r="A46" s="145" t="s">
        <v>16</v>
      </c>
      <c r="B46" s="147"/>
      <c r="C46" s="84"/>
      <c r="D46" s="29">
        <v>217.5</v>
      </c>
      <c r="E46" s="29">
        <v>2881.44</v>
      </c>
      <c r="F46" s="29"/>
      <c r="G46" s="29">
        <v>2858.82</v>
      </c>
      <c r="H46" s="85"/>
      <c r="I46" s="86">
        <f>D46+E46-G46</f>
        <v>240.11999999999989</v>
      </c>
      <c r="J46" s="19"/>
      <c r="K46" s="43"/>
      <c r="L46" s="42"/>
      <c r="M46" s="43"/>
      <c r="N46" s="43"/>
      <c r="R46" s="142"/>
      <c r="S46" s="142"/>
      <c r="T46" s="142"/>
      <c r="U46" s="142"/>
      <c r="X46">
        <v>55</v>
      </c>
    </row>
    <row r="47" spans="1:26" ht="17.25" hidden="1" customHeight="1" thickBot="1" x14ac:dyDescent="0.35">
      <c r="A47" s="148" t="s">
        <v>17</v>
      </c>
      <c r="B47" s="149"/>
      <c r="C47" s="87"/>
      <c r="D47" s="35">
        <v>727.32000000000039</v>
      </c>
      <c r="E47" s="35"/>
      <c r="F47" s="35"/>
      <c r="G47" s="35"/>
      <c r="H47" s="88"/>
      <c r="I47" s="89">
        <f>D47+E47-G47</f>
        <v>727.32000000000039</v>
      </c>
      <c r="J47" s="19"/>
      <c r="K47" s="43"/>
      <c r="L47" s="42"/>
      <c r="M47" s="43"/>
      <c r="N47" s="43"/>
      <c r="R47" s="142"/>
      <c r="S47" s="142"/>
      <c r="T47" s="142"/>
      <c r="U47" s="142"/>
      <c r="V47" s="31"/>
      <c r="X47">
        <v>1922141.58</v>
      </c>
      <c r="Y47" s="23">
        <f>X47-Q49</f>
        <v>0</v>
      </c>
    </row>
    <row r="48" spans="1:26" ht="43.2" customHeight="1" thickBot="1" x14ac:dyDescent="0.35">
      <c r="A48" s="125" t="s">
        <v>28</v>
      </c>
      <c r="B48" s="126"/>
      <c r="C48" s="90">
        <v>39914.31</v>
      </c>
      <c r="D48" s="90"/>
      <c r="E48" s="90">
        <v>45861.17</v>
      </c>
      <c r="F48" s="90"/>
      <c r="G48" s="90">
        <v>45861.17</v>
      </c>
      <c r="H48" s="90">
        <f>C48+E48-F48</f>
        <v>85775.48</v>
      </c>
      <c r="I48" s="90"/>
      <c r="J48" s="19"/>
      <c r="K48" s="43"/>
      <c r="L48" s="42"/>
      <c r="M48" s="43"/>
      <c r="N48" s="43"/>
      <c r="R48" t="s">
        <v>29</v>
      </c>
      <c r="V48" s="31"/>
      <c r="X48">
        <v>86</v>
      </c>
    </row>
    <row r="49" spans="1:26" ht="15" thickBot="1" x14ac:dyDescent="0.35">
      <c r="A49" s="127" t="s">
        <v>25</v>
      </c>
      <c r="B49" s="128"/>
      <c r="C49" s="91">
        <f>C43</f>
        <v>1226995.4400000002</v>
      </c>
      <c r="D49" s="91">
        <f t="shared" ref="D49:I49" si="1">D43+D48</f>
        <v>142406.96000000008</v>
      </c>
      <c r="E49" s="91">
        <f t="shared" si="1"/>
        <v>809047.54</v>
      </c>
      <c r="F49" s="91">
        <f t="shared" si="1"/>
        <v>0</v>
      </c>
      <c r="G49" s="91">
        <f t="shared" si="1"/>
        <v>797638.79</v>
      </c>
      <c r="H49" s="91">
        <f t="shared" si="1"/>
        <v>2075957.29</v>
      </c>
      <c r="I49" s="92">
        <f t="shared" si="1"/>
        <v>153815.71000000008</v>
      </c>
      <c r="J49" s="1"/>
      <c r="K49" s="1"/>
      <c r="L49" s="4"/>
      <c r="M49" s="1"/>
      <c r="N49" s="1"/>
      <c r="Q49" s="93">
        <f>H49-I49</f>
        <v>1922141.58</v>
      </c>
      <c r="R49" s="31">
        <f>H49-I49</f>
        <v>1922141.58</v>
      </c>
      <c r="S49">
        <v>2444908.44</v>
      </c>
      <c r="X49">
        <v>2075957.29</v>
      </c>
      <c r="Y49" s="23">
        <f>X49-H49</f>
        <v>0</v>
      </c>
    </row>
    <row r="50" spans="1:26" ht="15" thickBot="1" x14ac:dyDescent="0.35">
      <c r="A50" s="129"/>
      <c r="B50" s="130"/>
      <c r="C50" s="130"/>
      <c r="D50" s="130"/>
      <c r="E50" s="130"/>
      <c r="F50" s="130"/>
      <c r="G50" s="130"/>
      <c r="H50" s="130"/>
      <c r="I50" s="131"/>
      <c r="J50" s="1"/>
      <c r="R50" s="31">
        <f>R49-S49</f>
        <v>-522766.85999999987</v>
      </c>
    </row>
    <row r="51" spans="1:26" x14ac:dyDescent="0.3">
      <c r="A51" s="132" t="s">
        <v>30</v>
      </c>
      <c r="B51" s="133"/>
      <c r="C51" s="94">
        <v>-17839.430000000037</v>
      </c>
      <c r="D51" s="94">
        <v>28210.639999999908</v>
      </c>
      <c r="E51" s="95"/>
      <c r="F51" s="95"/>
      <c r="G51" s="94"/>
      <c r="H51" s="94">
        <f>C51+E51-F51</f>
        <v>-17839.430000000037</v>
      </c>
      <c r="I51" s="96">
        <f>D51+E51-G51</f>
        <v>28210.639999999908</v>
      </c>
      <c r="J51" s="1"/>
      <c r="L51" s="61">
        <f>[1]Бон11!$H$17</f>
        <v>634.53</v>
      </c>
      <c r="M51">
        <f>[1]Бон11!$H$33</f>
        <v>21441.170000000002</v>
      </c>
      <c r="Y51" s="31">
        <f>28210.64</f>
        <v>28210.639999999999</v>
      </c>
      <c r="Z51" s="23">
        <f>Y51-I51</f>
        <v>9.0949470177292824E-11</v>
      </c>
    </row>
    <row r="52" spans="1:26" x14ac:dyDescent="0.3">
      <c r="A52" s="134" t="s">
        <v>31</v>
      </c>
      <c r="B52" s="135"/>
      <c r="C52" s="65">
        <v>-11966.419999999986</v>
      </c>
      <c r="D52" s="97">
        <v>26879.600000000093</v>
      </c>
      <c r="E52" s="40"/>
      <c r="F52" s="40"/>
      <c r="G52" s="37"/>
      <c r="H52" s="65">
        <f>C52+E52-F52</f>
        <v>-11966.419999999986</v>
      </c>
      <c r="I52" s="38">
        <f>D52+E52-G52</f>
        <v>26879.600000000093</v>
      </c>
      <c r="J52" s="1"/>
      <c r="M52">
        <f>[1]Бон11!$I$33</f>
        <v>14202.59</v>
      </c>
      <c r="Y52" s="31">
        <f>26879.6</f>
        <v>26879.599999999999</v>
      </c>
      <c r="Z52" s="23">
        <f>Y52-I52</f>
        <v>-9.4587448984384537E-11</v>
      </c>
    </row>
    <row r="53" spans="1:26" x14ac:dyDescent="0.3">
      <c r="A53" s="117" t="s">
        <v>32</v>
      </c>
      <c r="B53" s="118"/>
      <c r="C53" s="65">
        <v>-3874.7500000005307</v>
      </c>
      <c r="D53" s="65">
        <v>53640.79</v>
      </c>
      <c r="E53" s="40"/>
      <c r="F53" s="40"/>
      <c r="G53" s="37"/>
      <c r="H53" s="65">
        <f>C53+E53-F53</f>
        <v>-3874.7500000005307</v>
      </c>
      <c r="I53" s="38">
        <f>D53+E53-G53</f>
        <v>53640.79</v>
      </c>
      <c r="J53" s="1"/>
      <c r="M53">
        <f>[1]Бон11!$J$33</f>
        <v>41054.9</v>
      </c>
      <c r="Y53" s="31">
        <f>53640.79</f>
        <v>53640.79</v>
      </c>
      <c r="Z53" s="23">
        <f>Y53-I53</f>
        <v>0</v>
      </c>
    </row>
    <row r="54" spans="1:26" x14ac:dyDescent="0.3">
      <c r="A54" s="117" t="s">
        <v>33</v>
      </c>
      <c r="B54" s="118"/>
      <c r="C54" s="65">
        <v>0.43999999999869033</v>
      </c>
      <c r="D54" s="65">
        <v>93.88999999999767</v>
      </c>
      <c r="E54" s="40"/>
      <c r="F54" s="40"/>
      <c r="G54" s="37"/>
      <c r="H54" s="65">
        <f>C54+E54-F54</f>
        <v>0.43999999999869033</v>
      </c>
      <c r="I54" s="38">
        <f>D54+E54-G54</f>
        <v>93.88999999999767</v>
      </c>
      <c r="J54" s="1"/>
      <c r="M54">
        <f>[1]Бон11!$U$33</f>
        <v>128.28</v>
      </c>
      <c r="Y54" s="31">
        <v>93.89</v>
      </c>
      <c r="Z54" s="23">
        <f>Y54-I54</f>
        <v>2.3305801732931286E-12</v>
      </c>
    </row>
    <row r="55" spans="1:26" ht="15" thickBot="1" x14ac:dyDescent="0.35">
      <c r="A55" s="119"/>
      <c r="B55" s="120"/>
      <c r="C55" s="98">
        <v>0</v>
      </c>
      <c r="D55" s="98"/>
      <c r="E55" s="98"/>
      <c r="F55" s="98"/>
      <c r="G55" s="98"/>
      <c r="H55" s="99">
        <f>C55+E55-F55</f>
        <v>0</v>
      </c>
      <c r="I55" s="100"/>
      <c r="J55" s="1"/>
      <c r="R55" s="31"/>
    </row>
    <row r="56" spans="1:26" ht="15" thickBot="1" x14ac:dyDescent="0.35">
      <c r="A56" s="121" t="s">
        <v>25</v>
      </c>
      <c r="B56" s="122"/>
      <c r="C56" s="101">
        <f>C51+C52+C53+C54</f>
        <v>-33680.160000000556</v>
      </c>
      <c r="D56" s="101">
        <f t="shared" ref="D56:I56" si="2">D51+D52+D53+D54</f>
        <v>108824.92</v>
      </c>
      <c r="E56" s="101">
        <f t="shared" si="2"/>
        <v>0</v>
      </c>
      <c r="F56" s="101">
        <f t="shared" si="2"/>
        <v>0</v>
      </c>
      <c r="G56" s="101">
        <f t="shared" si="2"/>
        <v>0</v>
      </c>
      <c r="H56" s="101">
        <f t="shared" si="2"/>
        <v>-33680.160000000556</v>
      </c>
      <c r="I56" s="101">
        <f t="shared" si="2"/>
        <v>108824.92</v>
      </c>
      <c r="J56" s="1"/>
      <c r="R56" s="31"/>
    </row>
    <row r="57" spans="1:26" ht="15" thickBot="1" x14ac:dyDescent="0.35">
      <c r="A57" s="111" t="s">
        <v>34</v>
      </c>
      <c r="B57" s="112"/>
      <c r="C57" s="72">
        <f>C41+C49+C56</f>
        <v>1677617.669999999</v>
      </c>
      <c r="D57" s="72">
        <f t="shared" ref="D57:I57" si="3">D41+D49+D56</f>
        <v>709252.71000000031</v>
      </c>
      <c r="E57" s="72">
        <f t="shared" si="3"/>
        <v>2626757.9400000004</v>
      </c>
      <c r="F57" s="72">
        <f t="shared" si="3"/>
        <v>2214684.4599999995</v>
      </c>
      <c r="G57" s="72">
        <f t="shared" si="3"/>
        <v>2633922.7000000002</v>
      </c>
      <c r="H57" s="72">
        <f t="shared" si="3"/>
        <v>2129605.459999999</v>
      </c>
      <c r="I57" s="72">
        <f t="shared" si="3"/>
        <v>702087.95000000019</v>
      </c>
      <c r="J57" s="1"/>
      <c r="L57" s="61">
        <f>L8+L13+L18+L23+L28+L33+L43+L51</f>
        <v>1535228.1000000003</v>
      </c>
      <c r="M57" s="61">
        <f>M8+M13+M18+M23+M28+M33+M43+M51+M38+M52+M53+M54</f>
        <v>1532919.68</v>
      </c>
    </row>
    <row r="58" spans="1:26" s="103" customFormat="1" ht="51" customHeight="1" x14ac:dyDescent="0.3">
      <c r="A58" s="123" t="s">
        <v>35</v>
      </c>
      <c r="B58" s="124"/>
      <c r="C58" s="66">
        <v>84999.5</v>
      </c>
      <c r="D58" s="66">
        <v>2000</v>
      </c>
      <c r="E58" s="66">
        <f>E59+E60</f>
        <v>0</v>
      </c>
      <c r="F58" s="66">
        <f>G58*0.125</f>
        <v>0</v>
      </c>
      <c r="G58" s="66">
        <f>G59+G60</f>
        <v>0</v>
      </c>
      <c r="H58" s="66">
        <f>C58+E58-F58</f>
        <v>84999.5</v>
      </c>
      <c r="I58" s="66">
        <f>D58+E58-G58</f>
        <v>2000</v>
      </c>
      <c r="J58" s="102"/>
      <c r="L58" s="61"/>
      <c r="Q58" s="104"/>
    </row>
    <row r="59" spans="1:26" s="103" customFormat="1" x14ac:dyDescent="0.3">
      <c r="A59" s="108" t="s">
        <v>36</v>
      </c>
      <c r="B59" s="109"/>
      <c r="C59" s="66"/>
      <c r="D59" s="66">
        <v>2000</v>
      </c>
      <c r="E59" s="66"/>
      <c r="F59" s="66"/>
      <c r="G59" s="66"/>
      <c r="H59" s="65"/>
      <c r="I59" s="38">
        <f>D59+E59-G59</f>
        <v>2000</v>
      </c>
      <c r="J59" s="102"/>
      <c r="L59" s="61"/>
      <c r="Q59" s="104"/>
    </row>
    <row r="60" spans="1:26" x14ac:dyDescent="0.3">
      <c r="A60" s="108" t="s">
        <v>37</v>
      </c>
      <c r="B60" s="109"/>
      <c r="C60" s="66"/>
      <c r="D60" s="66">
        <v>0</v>
      </c>
      <c r="E60" s="66"/>
      <c r="F60" s="66"/>
      <c r="G60" s="66"/>
      <c r="H60" s="65"/>
      <c r="I60" s="38">
        <f>D60+E60-G60</f>
        <v>0</v>
      </c>
      <c r="J60" s="1"/>
    </row>
    <row r="61" spans="1:26" ht="15" thickBot="1" x14ac:dyDescent="0.35">
      <c r="A61" s="110" t="s">
        <v>38</v>
      </c>
      <c r="B61" s="110"/>
      <c r="C61" s="105"/>
      <c r="D61" s="105"/>
      <c r="E61" s="105"/>
      <c r="F61" s="105"/>
      <c r="G61" s="105"/>
      <c r="H61" s="106"/>
      <c r="I61" s="107"/>
      <c r="J61" s="1"/>
    </row>
    <row r="62" spans="1:26" ht="15" thickBot="1" x14ac:dyDescent="0.35">
      <c r="A62" s="111" t="s">
        <v>39</v>
      </c>
      <c r="B62" s="112"/>
      <c r="C62" s="72">
        <f>C57+C58</f>
        <v>1762617.169999999</v>
      </c>
      <c r="D62" s="72">
        <f t="shared" ref="D62:I62" si="4">D57+D58</f>
        <v>711252.71000000031</v>
      </c>
      <c r="E62" s="72">
        <f t="shared" si="4"/>
        <v>2626757.9400000004</v>
      </c>
      <c r="F62" s="72">
        <f>F57+F58</f>
        <v>2214684.4599999995</v>
      </c>
      <c r="G62" s="72">
        <f t="shared" si="4"/>
        <v>2633922.7000000002</v>
      </c>
      <c r="H62" s="72">
        <f t="shared" si="4"/>
        <v>2214604.959999999</v>
      </c>
      <c r="I62" s="72">
        <f t="shared" si="4"/>
        <v>704087.95000000019</v>
      </c>
      <c r="J62" s="1"/>
    </row>
    <row r="63" spans="1:26" x14ac:dyDescent="0.3">
      <c r="A63" s="113"/>
      <c r="B63" s="114"/>
      <c r="C63" s="115"/>
      <c r="D63" s="115"/>
      <c r="E63" s="115"/>
      <c r="F63" s="115"/>
      <c r="G63" s="115"/>
      <c r="H63" s="115"/>
      <c r="I63" s="116"/>
      <c r="J63" s="1"/>
    </row>
  </sheetData>
  <mergeCells count="62">
    <mergeCell ref="A13:B13"/>
    <mergeCell ref="A3:I3"/>
    <mergeCell ref="A4:I4"/>
    <mergeCell ref="A5:B5"/>
    <mergeCell ref="K5:L5"/>
    <mergeCell ref="A6:B6"/>
    <mergeCell ref="A7:I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R43:U47"/>
    <mergeCell ref="A44:B44"/>
    <mergeCell ref="A45:B45"/>
    <mergeCell ref="A46:B46"/>
    <mergeCell ref="A47:B47"/>
    <mergeCell ref="A38:B38"/>
    <mergeCell ref="A39:B39"/>
    <mergeCell ref="A40:B40"/>
    <mergeCell ref="A41:B41"/>
    <mergeCell ref="A43:B43"/>
    <mergeCell ref="A59:B59"/>
    <mergeCell ref="A48:B48"/>
    <mergeCell ref="A49:B49"/>
    <mergeCell ref="A50:I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I63"/>
  </mergeCells>
  <pageMargins left="0.7" right="0.7" top="0.75" bottom="0.75" header="0.3" footer="0.3"/>
  <pageSetup paperSize="9" orientation="landscape" r:id="rId1"/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2026-02-25T13:53:09Z</dcterms:created>
  <dcterms:modified xsi:type="dcterms:W3CDTF">2026-02-25T13:55:39Z</dcterms:modified>
</cp:coreProperties>
</file>