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8760"/>
  </bookViews>
  <sheets>
    <sheet name="2025" sheetId="1" r:id="rId1"/>
  </sheets>
  <calcPr calcId="144525"/>
</workbook>
</file>

<file path=xl/calcChain.xml><?xml version="1.0" encoding="utf-8"?>
<calcChain xmlns="http://schemas.openxmlformats.org/spreadsheetml/2006/main">
  <c r="G44" i="1" l="1"/>
  <c r="E44" i="1"/>
  <c r="I44" i="1" s="1"/>
  <c r="G43" i="1"/>
  <c r="G41" i="1" s="1"/>
  <c r="F41" i="1" s="1"/>
  <c r="F45" i="1" s="1"/>
  <c r="E43" i="1"/>
  <c r="I43" i="1" s="1"/>
  <c r="I42" i="1"/>
  <c r="E41" i="1"/>
  <c r="I41" i="1" s="1"/>
  <c r="G39" i="1"/>
  <c r="F39" i="1"/>
  <c r="E39" i="1"/>
  <c r="D39" i="1"/>
  <c r="C39" i="1"/>
  <c r="K38" i="1"/>
  <c r="H38" i="1"/>
  <c r="O37" i="1"/>
  <c r="P37" i="1" s="1"/>
  <c r="K37" i="1"/>
  <c r="I37" i="1"/>
  <c r="H37" i="1"/>
  <c r="O36" i="1"/>
  <c r="J36" i="1"/>
  <c r="K36" i="1" s="1"/>
  <c r="I36" i="1"/>
  <c r="P36" i="1" s="1"/>
  <c r="H36" i="1"/>
  <c r="O35" i="1"/>
  <c r="P35" i="1" s="1"/>
  <c r="J35" i="1"/>
  <c r="K35" i="1" s="1"/>
  <c r="I35" i="1"/>
  <c r="H35" i="1"/>
  <c r="O34" i="1"/>
  <c r="K34" i="1"/>
  <c r="J34" i="1"/>
  <c r="I34" i="1"/>
  <c r="I39" i="1" s="1"/>
  <c r="H34" i="1"/>
  <c r="H39" i="1" s="1"/>
  <c r="K31" i="1"/>
  <c r="F31" i="1"/>
  <c r="D31" i="1"/>
  <c r="I30" i="1"/>
  <c r="H30" i="1"/>
  <c r="I29" i="1"/>
  <c r="H29" i="1"/>
  <c r="E28" i="1"/>
  <c r="I28" i="1" s="1"/>
  <c r="C28" i="1"/>
  <c r="O26" i="1"/>
  <c r="P26" i="1" s="1"/>
  <c r="I26" i="1"/>
  <c r="H26" i="1"/>
  <c r="G25" i="1"/>
  <c r="G31" i="1" s="1"/>
  <c r="E25" i="1"/>
  <c r="E31" i="1" s="1"/>
  <c r="C25" i="1"/>
  <c r="C31" i="1" s="1"/>
  <c r="J24" i="1"/>
  <c r="F24" i="1"/>
  <c r="K22" i="1"/>
  <c r="E22" i="1"/>
  <c r="I22" i="1" s="1"/>
  <c r="L22" i="1" s="1"/>
  <c r="M20" i="1"/>
  <c r="K20" i="1"/>
  <c r="I20" i="1"/>
  <c r="P20" i="1" s="1"/>
  <c r="H20" i="1"/>
  <c r="M18" i="1"/>
  <c r="K18" i="1"/>
  <c r="I18" i="1"/>
  <c r="P18" i="1" s="1"/>
  <c r="H18" i="1"/>
  <c r="L18" i="1" s="1"/>
  <c r="K16" i="1"/>
  <c r="I16" i="1"/>
  <c r="P16" i="1" s="1"/>
  <c r="H16" i="1"/>
  <c r="O14" i="1"/>
  <c r="M14" i="1"/>
  <c r="K14" i="1"/>
  <c r="I14" i="1"/>
  <c r="H14" i="1"/>
  <c r="L14" i="1" s="1"/>
  <c r="G13" i="1"/>
  <c r="G12" i="1" s="1"/>
  <c r="I12" i="1" s="1"/>
  <c r="P12" i="1" s="1"/>
  <c r="E13" i="1"/>
  <c r="K12" i="1"/>
  <c r="E12" i="1"/>
  <c r="C12" i="1"/>
  <c r="O10" i="1"/>
  <c r="G10" i="1"/>
  <c r="G8" i="1" s="1"/>
  <c r="G24" i="1" s="1"/>
  <c r="G40" i="1" s="1"/>
  <c r="G46" i="1" s="1"/>
  <c r="E10" i="1"/>
  <c r="O9" i="1"/>
  <c r="E9" i="1"/>
  <c r="I9" i="1" s="1"/>
  <c r="K8" i="1"/>
  <c r="D8" i="1"/>
  <c r="D24" i="1" s="1"/>
  <c r="D40" i="1" s="1"/>
  <c r="D46" i="1" s="1"/>
  <c r="C8" i="1"/>
  <c r="C24" i="1" s="1"/>
  <c r="C40" i="1" s="1"/>
  <c r="C46" i="1" s="1"/>
  <c r="L20" i="1" l="1"/>
  <c r="N20" i="1" s="1"/>
  <c r="H28" i="1"/>
  <c r="L16" i="1"/>
  <c r="N16" i="1" s="1"/>
  <c r="H12" i="1"/>
  <c r="L12" i="1" s="1"/>
  <c r="N12" i="1" s="1"/>
  <c r="J39" i="1"/>
  <c r="J40" i="1" s="1"/>
  <c r="J42" i="1" s="1"/>
  <c r="J44" i="1" s="1"/>
  <c r="K24" i="1"/>
  <c r="K40" i="1" s="1"/>
  <c r="P34" i="1"/>
  <c r="N14" i="1"/>
  <c r="P14" i="1"/>
  <c r="I10" i="1"/>
  <c r="P10" i="1" s="1"/>
  <c r="N18" i="1"/>
  <c r="F40" i="1"/>
  <c r="F46" i="1" s="1"/>
  <c r="K39" i="1"/>
  <c r="P9" i="1"/>
  <c r="L10" i="1"/>
  <c r="L11" i="1" s="1"/>
  <c r="E8" i="1"/>
  <c r="E24" i="1" s="1"/>
  <c r="E40" i="1" s="1"/>
  <c r="E46" i="1" s="1"/>
  <c r="H25" i="1"/>
  <c r="H31" i="1" s="1"/>
  <c r="H8" i="1"/>
  <c r="I25" i="1"/>
  <c r="I31" i="1" s="1"/>
  <c r="H41" i="1"/>
  <c r="I8" i="1" l="1"/>
  <c r="I24" i="1" s="1"/>
  <c r="I40" i="1" s="1"/>
  <c r="I46" i="1" s="1"/>
  <c r="J25" i="1"/>
  <c r="J31" i="1" s="1"/>
  <c r="L8" i="1"/>
  <c r="N8" i="1" s="1"/>
  <c r="H24" i="1"/>
  <c r="H40" i="1" s="1"/>
  <c r="H46" i="1" s="1"/>
  <c r="L31" i="1"/>
  <c r="O31" i="1" s="1"/>
  <c r="O29" i="1"/>
</calcChain>
</file>

<file path=xl/comments1.xml><?xml version="1.0" encoding="utf-8"?>
<comments xmlns="http://schemas.openxmlformats.org/spreadsheetml/2006/main">
  <authors>
    <author>Автор</author>
  </authors>
  <commentList>
    <comment ref="E2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население + АСГП</t>
        </r>
      </text>
    </comment>
  </commentList>
</comments>
</file>

<file path=xl/sharedStrings.xml><?xml version="1.0" encoding="utf-8"?>
<sst xmlns="http://schemas.openxmlformats.org/spreadsheetml/2006/main" count="48" uniqueCount="45">
  <si>
    <t>УТВЕРЖДАЮ</t>
  </si>
  <si>
    <t>Директор ООО УК "Эталон" _____________________Э.В. Цыганова</t>
  </si>
  <si>
    <t>Информация о состоянии лицевого счета д.№ 15 по ул.Бондарева</t>
  </si>
  <si>
    <t>за период 01.01.2025-31.12.2025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</si>
  <si>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</si>
  <si>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</si>
  <si>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</si>
  <si>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</si>
  <si>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</si>
  <si>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</si>
  <si>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</si>
  <si>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</si>
  <si>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 xml:space="preserve">фактические расходы дома (руб) </t>
  </si>
  <si>
    <t>Убытки УК</t>
  </si>
  <si>
    <t>ДЗ</t>
  </si>
  <si>
    <t>Обслуживаемая площадь  - 2428 кв.м.</t>
  </si>
  <si>
    <t>Содержание</t>
  </si>
  <si>
    <t>Добавили оплату и начисления по мусору</t>
  </si>
  <si>
    <t>в т.ч. Содержание</t>
  </si>
  <si>
    <t>Сбор и вывоз ТБО</t>
  </si>
  <si>
    <t>Ремонт</t>
  </si>
  <si>
    <t>в т.ч. Доход от аренды</t>
  </si>
  <si>
    <t>Управление</t>
  </si>
  <si>
    <t>ОДН водоснабж</t>
  </si>
  <si>
    <t>ОДН водоотв</t>
  </si>
  <si>
    <t>ОДН эл/сн</t>
  </si>
  <si>
    <t>Перенесено на содержание</t>
  </si>
  <si>
    <t>Итого</t>
  </si>
  <si>
    <t>Капитальный ремонт</t>
  </si>
  <si>
    <t>в т.ч. Население</t>
  </si>
  <si>
    <t>пени</t>
  </si>
  <si>
    <t>администрация</t>
  </si>
  <si>
    <t>н-инвест</t>
  </si>
  <si>
    <t>Доходы и расходы от размещения средств на счете (проценты и комиссии)</t>
  </si>
  <si>
    <t xml:space="preserve">Водоснабжение </t>
  </si>
  <si>
    <t>водоотведение</t>
  </si>
  <si>
    <t>Теплоснабжение</t>
  </si>
  <si>
    <t>Обращение с ТКО</t>
  </si>
  <si>
    <t>Всего от осн деят</t>
  </si>
  <si>
    <t>Доходы от использования общего имущества , всего, в т.ч.</t>
  </si>
  <si>
    <t>ЗАО "ТТК"</t>
  </si>
  <si>
    <t>ЗАО "ТТК-связь"</t>
  </si>
  <si>
    <t>ПАО "Ростелеком"</t>
  </si>
  <si>
    <t>Налог по УСН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</si>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</sst>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sz val="11"/>
      <color rgb="FF0000FF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color rgb="FF0000FF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2" fillId="2" borderId="0" xfId="1" applyFont="1" applyFill="1" applyAlignment="1">
      <alignment horizontal="right"/>
    </xf>
    <xf numFmtId="0" fontId="3" fillId="0" borderId="0" xfId="1" applyFont="1" applyAlignment="1">
      <alignment horizontal="center"/>
    </xf>
    <xf numFmtId="0" fontId="2" fillId="2" borderId="0" xfId="1" applyFont="1" applyFill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2" fontId="6" fillId="2" borderId="9" xfId="1" applyNumberFormat="1" applyFont="1" applyFill="1" applyBorder="1" applyAlignment="1">
      <alignment horizontal="center" vertical="center" wrapText="1"/>
    </xf>
    <xf numFmtId="0" fontId="9" fillId="0" borderId="10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3" fontId="9" fillId="0" borderId="12" xfId="1" applyNumberFormat="1" applyFont="1" applyBorder="1" applyAlignment="1">
      <alignment horizontal="center"/>
    </xf>
    <xf numFmtId="3" fontId="9" fillId="0" borderId="11" xfId="1" applyNumberFormat="1" applyFont="1" applyBorder="1" applyAlignment="1">
      <alignment horizontal="center"/>
    </xf>
    <xf numFmtId="1" fontId="9" fillId="0" borderId="12" xfId="1" applyNumberFormat="1" applyFont="1" applyBorder="1" applyAlignment="1">
      <alignment horizontal="center"/>
    </xf>
    <xf numFmtId="3" fontId="9" fillId="2" borderId="9" xfId="1" applyNumberFormat="1" applyFont="1" applyFill="1" applyBorder="1" applyAlignment="1">
      <alignment horizontal="center"/>
    </xf>
    <xf numFmtId="4" fontId="9" fillId="0" borderId="0" xfId="1" applyNumberFormat="1" applyFont="1" applyFill="1" applyBorder="1" applyAlignment="1">
      <alignment horizontal="center" wrapText="1"/>
    </xf>
    <xf numFmtId="0" fontId="9" fillId="0" borderId="0" xfId="1" applyFont="1" applyFill="1" applyBorder="1" applyAlignment="1">
      <alignment horizontal="center" wrapText="1"/>
    </xf>
    <xf numFmtId="4" fontId="0" fillId="0" borderId="0" xfId="0" applyNumberFormat="1"/>
    <xf numFmtId="2" fontId="0" fillId="0" borderId="0" xfId="0" applyNumberFormat="1"/>
    <xf numFmtId="0" fontId="9" fillId="3" borderId="6" xfId="1" applyFont="1" applyFill="1" applyBorder="1" applyAlignment="1">
      <alignment horizontal="center"/>
    </xf>
    <xf numFmtId="0" fontId="9" fillId="3" borderId="8" xfId="1" applyFont="1" applyFill="1" applyBorder="1" applyAlignment="1">
      <alignment horizontal="center"/>
    </xf>
    <xf numFmtId="3" fontId="9" fillId="3" borderId="12" xfId="1" applyNumberFormat="1" applyFont="1" applyFill="1" applyBorder="1" applyAlignment="1">
      <alignment horizontal="center"/>
    </xf>
    <xf numFmtId="3" fontId="9" fillId="3" borderId="11" xfId="1" applyNumberFormat="1" applyFont="1" applyFill="1" applyBorder="1" applyAlignment="1">
      <alignment horizontal="center"/>
    </xf>
    <xf numFmtId="1" fontId="9" fillId="3" borderId="12" xfId="1" applyNumberFormat="1" applyFont="1" applyFill="1" applyBorder="1" applyAlignment="1">
      <alignment horizontal="center"/>
    </xf>
    <xf numFmtId="3" fontId="9" fillId="2" borderId="13" xfId="1" applyNumberFormat="1" applyFont="1" applyFill="1" applyBorder="1" applyAlignment="1">
      <alignment horizontal="center"/>
    </xf>
    <xf numFmtId="3" fontId="9" fillId="0" borderId="0" xfId="1" applyNumberFormat="1" applyFont="1" applyFill="1" applyBorder="1" applyAlignment="1">
      <alignment horizontal="center" wrapText="1"/>
    </xf>
    <xf numFmtId="3" fontId="9" fillId="3" borderId="9" xfId="1" applyNumberFormat="1" applyFont="1" applyFill="1" applyBorder="1" applyAlignment="1">
      <alignment horizontal="center"/>
    </xf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3" fontId="9" fillId="0" borderId="14" xfId="1" applyNumberFormat="1" applyFont="1" applyBorder="1" applyAlignment="1">
      <alignment horizontal="center"/>
    </xf>
    <xf numFmtId="3" fontId="9" fillId="2" borderId="14" xfId="1" applyNumberFormat="1" applyFont="1" applyFill="1" applyBorder="1" applyAlignment="1">
      <alignment horizontal="center"/>
    </xf>
    <xf numFmtId="3" fontId="9" fillId="0" borderId="9" xfId="1" applyNumberFormat="1" applyFont="1" applyBorder="1" applyAlignment="1">
      <alignment horizontal="center"/>
    </xf>
    <xf numFmtId="1" fontId="9" fillId="0" borderId="9" xfId="1" applyNumberFormat="1" applyFont="1" applyBorder="1" applyAlignment="1">
      <alignment horizontal="center"/>
    </xf>
    <xf numFmtId="3" fontId="9" fillId="2" borderId="11" xfId="1" applyNumberFormat="1" applyFont="1" applyFill="1" applyBorder="1" applyAlignment="1">
      <alignment horizontal="center"/>
    </xf>
    <xf numFmtId="0" fontId="9" fillId="0" borderId="0" xfId="1" applyFont="1"/>
    <xf numFmtId="0" fontId="10" fillId="0" borderId="6" xfId="1" applyFont="1" applyBorder="1" applyAlignment="1">
      <alignment horizontal="left"/>
    </xf>
    <xf numFmtId="0" fontId="10" fillId="0" borderId="8" xfId="1" applyFont="1" applyBorder="1" applyAlignment="1">
      <alignment horizontal="left"/>
    </xf>
    <xf numFmtId="3" fontId="10" fillId="0" borderId="9" xfId="1" applyNumberFormat="1" applyFont="1" applyBorder="1" applyAlignment="1">
      <alignment horizontal="center"/>
    </xf>
    <xf numFmtId="3" fontId="10" fillId="0" borderId="11" xfId="1" applyNumberFormat="1" applyFont="1" applyBorder="1" applyAlignment="1">
      <alignment horizontal="center"/>
    </xf>
    <xf numFmtId="1" fontId="10" fillId="0" borderId="9" xfId="1" applyNumberFormat="1" applyFont="1" applyBorder="1" applyAlignment="1">
      <alignment horizontal="center"/>
    </xf>
    <xf numFmtId="3" fontId="10" fillId="2" borderId="11" xfId="1" applyNumberFormat="1" applyFont="1" applyFill="1" applyBorder="1" applyAlignment="1">
      <alignment horizontal="center"/>
    </xf>
    <xf numFmtId="0" fontId="9" fillId="0" borderId="15" xfId="1" applyFont="1" applyBorder="1" applyAlignment="1">
      <alignment horizontal="left"/>
    </xf>
    <xf numFmtId="0" fontId="9" fillId="0" borderId="14" xfId="1" applyFont="1" applyBorder="1" applyAlignment="1">
      <alignment horizontal="left"/>
    </xf>
    <xf numFmtId="3" fontId="0" fillId="0" borderId="0" xfId="0" applyNumberFormat="1"/>
    <xf numFmtId="0" fontId="9" fillId="0" borderId="9" xfId="1" applyFont="1" applyBorder="1" applyAlignment="1">
      <alignment horizontal="left"/>
    </xf>
    <xf numFmtId="3" fontId="9" fillId="0" borderId="9" xfId="1" applyNumberFormat="1" applyFont="1" applyFill="1" applyBorder="1" applyAlignment="1">
      <alignment horizontal="center"/>
    </xf>
    <xf numFmtId="0" fontId="3" fillId="4" borderId="16" xfId="1" applyFont="1" applyFill="1" applyBorder="1" applyAlignment="1">
      <alignment horizontal="center"/>
    </xf>
    <xf numFmtId="0" fontId="3" fillId="4" borderId="17" xfId="1" applyFont="1" applyFill="1" applyBorder="1" applyAlignment="1">
      <alignment horizontal="center"/>
    </xf>
    <xf numFmtId="3" fontId="3" fillId="4" borderId="16" xfId="1" applyNumberFormat="1" applyFont="1" applyFill="1" applyBorder="1" applyAlignment="1">
      <alignment horizontal="center"/>
    </xf>
    <xf numFmtId="3" fontId="3" fillId="2" borderId="16" xfId="1" applyNumberFormat="1" applyFont="1" applyFill="1" applyBorder="1" applyAlignment="1">
      <alignment horizontal="center"/>
    </xf>
    <xf numFmtId="0" fontId="9" fillId="0" borderId="18" xfId="1" applyFont="1" applyBorder="1" applyAlignment="1">
      <alignment horizontal="left" wrapText="1"/>
    </xf>
    <xf numFmtId="0" fontId="9" fillId="0" borderId="19" xfId="1" applyFont="1" applyBorder="1" applyAlignment="1">
      <alignment horizontal="left" wrapText="1"/>
    </xf>
    <xf numFmtId="3" fontId="9" fillId="0" borderId="20" xfId="1" applyNumberFormat="1" applyFont="1" applyBorder="1" applyAlignment="1">
      <alignment horizontal="center"/>
    </xf>
    <xf numFmtId="1" fontId="9" fillId="0" borderId="20" xfId="1" applyNumberFormat="1" applyFont="1" applyBorder="1" applyAlignment="1">
      <alignment horizontal="center"/>
    </xf>
    <xf numFmtId="0" fontId="9" fillId="5" borderId="0" xfId="1" applyFont="1" applyFill="1"/>
    <xf numFmtId="0" fontId="11" fillId="0" borderId="0" xfId="0" applyFont="1"/>
    <xf numFmtId="0" fontId="9" fillId="6" borderId="21" xfId="1" applyFont="1" applyFill="1" applyBorder="1" applyAlignment="1">
      <alignment horizontal="center" wrapText="1"/>
    </xf>
    <xf numFmtId="0" fontId="9" fillId="6" borderId="22" xfId="1" applyFont="1" applyFill="1" applyBorder="1" applyAlignment="1">
      <alignment horizontal="center" wrapText="1"/>
    </xf>
    <xf numFmtId="3" fontId="9" fillId="6" borderId="21" xfId="1" applyNumberFormat="1" applyFont="1" applyFill="1" applyBorder="1" applyAlignment="1">
      <alignment horizontal="center"/>
    </xf>
    <xf numFmtId="3" fontId="9" fillId="6" borderId="23" xfId="1" applyNumberFormat="1" applyFont="1" applyFill="1" applyBorder="1" applyAlignment="1">
      <alignment horizontal="center"/>
    </xf>
    <xf numFmtId="1" fontId="9" fillId="6" borderId="23" xfId="1" applyNumberFormat="1" applyFont="1" applyFill="1" applyBorder="1" applyAlignment="1">
      <alignment horizontal="center"/>
    </xf>
    <xf numFmtId="3" fontId="9" fillId="6" borderId="24" xfId="1" applyNumberFormat="1" applyFont="1" applyFill="1" applyBorder="1" applyAlignment="1">
      <alignment horizontal="center"/>
    </xf>
    <xf numFmtId="3" fontId="9" fillId="2" borderId="25" xfId="1" applyNumberFormat="1" applyFont="1" applyFill="1" applyBorder="1" applyAlignment="1">
      <alignment horizontal="center"/>
    </xf>
    <xf numFmtId="4" fontId="11" fillId="0" borderId="0" xfId="0" applyNumberFormat="1" applyFont="1"/>
    <xf numFmtId="0" fontId="9" fillId="6" borderId="6" xfId="1" applyFont="1" applyFill="1" applyBorder="1" applyAlignment="1">
      <alignment horizontal="center" wrapText="1"/>
    </xf>
    <xf numFmtId="0" fontId="9" fillId="6" borderId="8" xfId="1" applyFont="1" applyFill="1" applyBorder="1" applyAlignment="1">
      <alignment horizontal="center" wrapText="1"/>
    </xf>
    <xf numFmtId="3" fontId="9" fillId="6" borderId="10" xfId="1" applyNumberFormat="1" applyFont="1" applyFill="1" applyBorder="1" applyAlignment="1">
      <alignment horizontal="center"/>
    </xf>
    <xf numFmtId="3" fontId="9" fillId="6" borderId="12" xfId="1" applyNumberFormat="1" applyFont="1" applyFill="1" applyBorder="1" applyAlignment="1">
      <alignment horizontal="center"/>
    </xf>
    <xf numFmtId="1" fontId="9" fillId="6" borderId="12" xfId="1" applyNumberFormat="1" applyFont="1" applyFill="1" applyBorder="1" applyAlignment="1">
      <alignment horizontal="center"/>
    </xf>
    <xf numFmtId="3" fontId="9" fillId="6" borderId="11" xfId="1" applyNumberFormat="1" applyFont="1" applyFill="1" applyBorder="1" applyAlignment="1">
      <alignment horizontal="center"/>
    </xf>
    <xf numFmtId="0" fontId="9" fillId="6" borderId="15" xfId="1" applyFont="1" applyFill="1" applyBorder="1" applyAlignment="1">
      <alignment horizontal="center" wrapText="1"/>
    </xf>
    <xf numFmtId="0" fontId="9" fillId="6" borderId="13" xfId="1" applyFont="1" applyFill="1" applyBorder="1" applyAlignment="1">
      <alignment horizontal="center" wrapText="1"/>
    </xf>
    <xf numFmtId="3" fontId="9" fillId="6" borderId="15" xfId="1" applyNumberFormat="1" applyFont="1" applyFill="1" applyBorder="1" applyAlignment="1">
      <alignment horizontal="center"/>
    </xf>
    <xf numFmtId="3" fontId="9" fillId="6" borderId="9" xfId="1" applyNumberFormat="1" applyFont="1" applyFill="1" applyBorder="1" applyAlignment="1">
      <alignment horizontal="center"/>
    </xf>
    <xf numFmtId="1" fontId="9" fillId="6" borderId="9" xfId="1" applyNumberFormat="1" applyFont="1" applyFill="1" applyBorder="1" applyAlignment="1">
      <alignment horizontal="center"/>
    </xf>
    <xf numFmtId="3" fontId="9" fillId="6" borderId="14" xfId="1" applyNumberFormat="1" applyFont="1" applyFill="1" applyBorder="1" applyAlignment="1">
      <alignment horizontal="center"/>
    </xf>
    <xf numFmtId="4" fontId="9" fillId="5" borderId="0" xfId="1" applyNumberFormat="1" applyFont="1" applyFill="1"/>
    <xf numFmtId="4" fontId="9" fillId="0" borderId="0" xfId="1" applyNumberFormat="1" applyFont="1"/>
    <xf numFmtId="0" fontId="9" fillId="6" borderId="26" xfId="1" applyFont="1" applyFill="1" applyBorder="1" applyAlignment="1">
      <alignment horizontal="center" wrapText="1"/>
    </xf>
    <xf numFmtId="0" fontId="9" fillId="6" borderId="27" xfId="1" applyFont="1" applyFill="1" applyBorder="1" applyAlignment="1">
      <alignment horizontal="center" wrapText="1"/>
    </xf>
    <xf numFmtId="3" fontId="9" fillId="6" borderId="26" xfId="1" applyNumberFormat="1" applyFont="1" applyFill="1" applyBorder="1" applyAlignment="1">
      <alignment horizontal="center"/>
    </xf>
    <xf numFmtId="3" fontId="9" fillId="6" borderId="28" xfId="1" applyNumberFormat="1" applyFont="1" applyFill="1" applyBorder="1" applyAlignment="1">
      <alignment horizontal="center"/>
    </xf>
    <xf numFmtId="1" fontId="9" fillId="6" borderId="28" xfId="1" applyNumberFormat="1" applyFont="1" applyFill="1" applyBorder="1" applyAlignment="1">
      <alignment horizontal="center"/>
    </xf>
    <xf numFmtId="3" fontId="9" fillId="6" borderId="29" xfId="1" applyNumberFormat="1" applyFont="1" applyFill="1" applyBorder="1" applyAlignment="1">
      <alignment horizontal="center"/>
    </xf>
    <xf numFmtId="0" fontId="9" fillId="0" borderId="30" xfId="1" applyFont="1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3" fillId="4" borderId="9" xfId="1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3" fontId="3" fillId="4" borderId="9" xfId="1" applyNumberFormat="1" applyFont="1" applyFill="1" applyBorder="1" applyAlignment="1">
      <alignment horizontal="center"/>
    </xf>
    <xf numFmtId="4" fontId="3" fillId="4" borderId="9" xfId="1" applyNumberFormat="1" applyFont="1" applyFill="1" applyBorder="1" applyAlignment="1">
      <alignment horizontal="center"/>
    </xf>
    <xf numFmtId="3" fontId="3" fillId="2" borderId="9" xfId="1" applyNumberFormat="1" applyFont="1" applyFill="1" applyBorder="1" applyAlignment="1">
      <alignment horizontal="center"/>
    </xf>
    <xf numFmtId="4" fontId="2" fillId="0" borderId="0" xfId="1" applyNumberFormat="1" applyFont="1"/>
    <xf numFmtId="0" fontId="3" fillId="7" borderId="4" xfId="1" applyFont="1" applyFill="1" applyBorder="1" applyAlignment="1">
      <alignment horizontal="center"/>
    </xf>
    <xf numFmtId="0" fontId="3" fillId="7" borderId="5" xfId="1" applyFont="1" applyFill="1" applyBorder="1" applyAlignment="1">
      <alignment horizontal="center"/>
    </xf>
    <xf numFmtId="3" fontId="3" fillId="7" borderId="5" xfId="1" applyNumberFormat="1" applyFont="1" applyFill="1" applyBorder="1" applyAlignment="1">
      <alignment horizontal="center"/>
    </xf>
    <xf numFmtId="0" fontId="1" fillId="7" borderId="0" xfId="1" applyFill="1"/>
    <xf numFmtId="3" fontId="1" fillId="7" borderId="0" xfId="1" applyNumberFormat="1" applyFill="1"/>
    <xf numFmtId="0" fontId="0" fillId="7" borderId="0" xfId="0" applyFill="1"/>
    <xf numFmtId="0" fontId="3" fillId="0" borderId="4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32" xfId="1" applyFont="1" applyBorder="1" applyAlignment="1">
      <alignment horizontal="center"/>
    </xf>
    <xf numFmtId="3" fontId="3" fillId="2" borderId="32" xfId="1" applyNumberFormat="1" applyFont="1" applyFill="1" applyBorder="1" applyAlignment="1">
      <alignment horizontal="center"/>
    </xf>
    <xf numFmtId="0" fontId="9" fillId="0" borderId="21" xfId="1" applyFont="1" applyBorder="1" applyAlignment="1">
      <alignment horizontal="left" wrapText="1"/>
    </xf>
    <xf numFmtId="0" fontId="9" fillId="0" borderId="23" xfId="1" applyFont="1" applyBorder="1" applyAlignment="1">
      <alignment horizontal="left" wrapText="1"/>
    </xf>
    <xf numFmtId="3" fontId="9" fillId="0" borderId="23" xfId="1" applyNumberFormat="1" applyFont="1" applyBorder="1" applyAlignment="1">
      <alignment horizontal="center"/>
    </xf>
    <xf numFmtId="3" fontId="9" fillId="0" borderId="23" xfId="1" applyNumberFormat="1" applyFont="1" applyFill="1" applyBorder="1" applyAlignment="1">
      <alignment horizontal="center"/>
    </xf>
    <xf numFmtId="3" fontId="9" fillId="0" borderId="24" xfId="1" applyNumberFormat="1" applyFont="1" applyBorder="1" applyAlignment="1">
      <alignment horizontal="center"/>
    </xf>
    <xf numFmtId="0" fontId="9" fillId="0" borderId="15" xfId="1" applyFont="1" applyBorder="1" applyAlignment="1">
      <alignment horizontal="left" wrapText="1"/>
    </xf>
    <xf numFmtId="0" fontId="9" fillId="0" borderId="9" xfId="1" applyFont="1" applyBorder="1" applyAlignment="1">
      <alignment horizontal="left" wrapText="1"/>
    </xf>
    <xf numFmtId="3" fontId="9" fillId="2" borderId="24" xfId="1" applyNumberFormat="1" applyFont="1" applyFill="1" applyBorder="1" applyAlignment="1">
      <alignment horizontal="center"/>
    </xf>
    <xf numFmtId="0" fontId="10" fillId="0" borderId="26" xfId="1" applyFont="1" applyBorder="1" applyAlignment="1">
      <alignment horizontal="left"/>
    </xf>
    <xf numFmtId="0" fontId="10" fillId="0" borderId="28" xfId="1" applyFont="1" applyBorder="1" applyAlignment="1">
      <alignment horizontal="left"/>
    </xf>
    <xf numFmtId="3" fontId="10" fillId="0" borderId="28" xfId="1" applyNumberFormat="1" applyFont="1" applyBorder="1" applyAlignment="1">
      <alignment horizontal="center"/>
    </xf>
    <xf numFmtId="3" fontId="9" fillId="0" borderId="28" xfId="1" applyNumberFormat="1" applyFont="1" applyBorder="1" applyAlignment="1">
      <alignment horizontal="center"/>
    </xf>
    <xf numFmtId="3" fontId="10" fillId="0" borderId="29" xfId="1" applyNumberFormat="1" applyFont="1" applyBorder="1" applyAlignment="1">
      <alignment horizontal="center"/>
    </xf>
    <xf numFmtId="0" fontId="3" fillId="4" borderId="33" xfId="1" applyFont="1" applyFill="1" applyBorder="1" applyAlignment="1">
      <alignment horizontal="center"/>
    </xf>
    <xf numFmtId="0" fontId="3" fillId="4" borderId="34" xfId="1" applyFont="1" applyFill="1" applyBorder="1" applyAlignment="1">
      <alignment horizontal="center"/>
    </xf>
    <xf numFmtId="3" fontId="3" fillId="4" borderId="34" xfId="1" applyNumberFormat="1" applyFont="1" applyFill="1" applyBorder="1" applyAlignment="1">
      <alignment horizontal="center"/>
    </xf>
    <xf numFmtId="3" fontId="3" fillId="4" borderId="35" xfId="1" applyNumberFormat="1" applyFont="1" applyFill="1" applyBorder="1" applyAlignment="1">
      <alignment horizontal="center"/>
    </xf>
    <xf numFmtId="3" fontId="3" fillId="4" borderId="17" xfId="1" applyNumberFormat="1" applyFont="1" applyFill="1" applyBorder="1" applyAlignment="1">
      <alignment horizontal="center"/>
    </xf>
    <xf numFmtId="0" fontId="9" fillId="7" borderId="9" xfId="1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3" fontId="9" fillId="7" borderId="9" xfId="1" applyNumberFormat="1" applyFont="1" applyFill="1" applyBorder="1" applyAlignment="1">
      <alignment horizontal="center"/>
    </xf>
    <xf numFmtId="3" fontId="10" fillId="2" borderId="29" xfId="1" applyNumberFormat="1" applyFont="1" applyFill="1" applyBorder="1" applyAlignment="1">
      <alignment horizontal="center"/>
    </xf>
    <xf numFmtId="0" fontId="12" fillId="0" borderId="0" xfId="0" applyFont="1"/>
    <xf numFmtId="3" fontId="3" fillId="2" borderId="34" xfId="1" applyNumberFormat="1" applyFont="1" applyFill="1" applyBorder="1" applyAlignment="1">
      <alignment horizontal="center"/>
    </xf>
    <xf numFmtId="3" fontId="3" fillId="2" borderId="36" xfId="1" applyNumberFormat="1" applyFont="1" applyFill="1" applyBorder="1" applyAlignment="1">
      <alignment horizontal="center"/>
    </xf>
    <xf numFmtId="0" fontId="13" fillId="0" borderId="37" xfId="0" applyFont="1" applyBorder="1" applyAlignment="1">
      <alignment horizontal="center" wrapText="1"/>
    </xf>
    <xf numFmtId="3" fontId="9" fillId="7" borderId="38" xfId="1" applyNumberFormat="1" applyFont="1" applyFill="1" applyBorder="1" applyAlignment="1">
      <alignment horizontal="center"/>
    </xf>
    <xf numFmtId="3" fontId="9" fillId="0" borderId="38" xfId="1" applyNumberFormat="1" applyFont="1" applyBorder="1" applyAlignment="1">
      <alignment horizontal="center"/>
    </xf>
    <xf numFmtId="3" fontId="3" fillId="2" borderId="38" xfId="1" applyNumberFormat="1" applyFont="1" applyFill="1" applyBorder="1" applyAlignment="1">
      <alignment horizontal="center"/>
    </xf>
    <xf numFmtId="0" fontId="3" fillId="4" borderId="16" xfId="1" applyFont="1" applyFill="1" applyBorder="1" applyAlignment="1">
      <alignment horizontal="left"/>
    </xf>
    <xf numFmtId="0" fontId="3" fillId="4" borderId="17" xfId="1" applyFont="1" applyFill="1" applyBorder="1" applyAlignment="1">
      <alignment horizontal="left"/>
    </xf>
    <xf numFmtId="0" fontId="11" fillId="2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6"/>
  <sheetViews>
    <sheetView tabSelected="1" zoomScale="85" zoomScaleNormal="85" workbookViewId="0">
      <selection activeCell="A48" sqref="A48:XFD79"/>
    </sheetView>
  </sheetViews>
  <sheetFormatPr defaultColWidth="9.109375" defaultRowHeight="14.4" x14ac:dyDescent="0.3"/>
  <cols>
    <col min="2" max="2" width="11.33203125" customWidth="1"/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1" width="19.109375" style="146" hidden="1" customWidth="1"/>
    <col min="12" max="12" width="12" hidden="1" customWidth="1"/>
    <col min="13" max="13" width="11.109375" hidden="1" customWidth="1"/>
    <col min="14" max="14" width="12.109375" hidden="1" customWidth="1"/>
    <col min="15" max="15" width="9.5546875" hidden="1" customWidth="1"/>
    <col min="16" max="24" width="0" hidden="1" customWidth="1"/>
  </cols>
  <sheetData>
    <row r="1" spans="1:17" x14ac:dyDescent="0.3">
      <c r="A1" s="1"/>
      <c r="B1" s="1"/>
      <c r="C1" s="1"/>
      <c r="D1" s="1"/>
      <c r="E1" s="1"/>
      <c r="F1" s="2"/>
      <c r="G1" s="2"/>
      <c r="H1" s="2"/>
      <c r="I1" s="3" t="s">
        <v>0</v>
      </c>
      <c r="J1" s="4"/>
      <c r="K1" s="4"/>
      <c r="L1" s="1"/>
      <c r="M1" s="1"/>
    </row>
    <row r="2" spans="1:17" x14ac:dyDescent="0.3">
      <c r="A2" s="1"/>
      <c r="B2" s="1"/>
      <c r="C2" s="1"/>
      <c r="D2" s="1"/>
      <c r="E2" s="1"/>
      <c r="F2" s="2"/>
      <c r="G2" s="2"/>
      <c r="H2" s="2"/>
      <c r="I2" s="3" t="s">
        <v>1</v>
      </c>
      <c r="J2" s="4"/>
      <c r="K2" s="4"/>
      <c r="L2" s="1"/>
      <c r="M2" s="1"/>
    </row>
    <row r="3" spans="1:17" x14ac:dyDescent="0.3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  <c r="L3" s="1"/>
      <c r="M3" s="1"/>
    </row>
    <row r="4" spans="1:17" ht="15" thickBot="1" x14ac:dyDescent="0.35">
      <c r="A4" s="5" t="s">
        <v>3</v>
      </c>
      <c r="B4" s="5"/>
      <c r="C4" s="5"/>
      <c r="D4" s="5"/>
      <c r="E4" s="5"/>
      <c r="F4" s="5"/>
      <c r="G4" s="5"/>
      <c r="H4" s="5"/>
      <c r="I4" s="5"/>
      <c r="J4" s="6"/>
      <c r="K4" s="6"/>
      <c r="L4" s="1"/>
      <c r="M4" s="1"/>
    </row>
    <row r="5" spans="1:17" ht="48.6" thickBot="1" x14ac:dyDescent="0.35">
      <c r="A5" s="7" t="s">
        <v>4</v>
      </c>
      <c r="B5" s="8"/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10" t="s">
        <v>11</v>
      </c>
      <c r="J5" s="11" t="s">
        <v>12</v>
      </c>
      <c r="K5" s="11" t="s">
        <v>13</v>
      </c>
      <c r="L5" s="1"/>
      <c r="M5" s="1"/>
      <c r="O5" t="s">
        <v>14</v>
      </c>
    </row>
    <row r="6" spans="1:17" x14ac:dyDescent="0.3">
      <c r="A6" s="12">
        <v>1</v>
      </c>
      <c r="B6" s="13"/>
      <c r="C6" s="14">
        <v>2</v>
      </c>
      <c r="D6" s="15">
        <v>3</v>
      </c>
      <c r="E6" s="15">
        <v>4</v>
      </c>
      <c r="F6" s="15">
        <v>5</v>
      </c>
      <c r="G6" s="15">
        <v>6</v>
      </c>
      <c r="H6" s="15">
        <v>7</v>
      </c>
      <c r="I6" s="16">
        <v>8</v>
      </c>
      <c r="J6" s="17">
        <v>8</v>
      </c>
      <c r="K6" s="17">
        <v>8</v>
      </c>
      <c r="L6" s="1"/>
      <c r="M6" s="1">
        <v>62</v>
      </c>
    </row>
    <row r="7" spans="1:17" x14ac:dyDescent="0.3">
      <c r="A7" s="18" t="s">
        <v>15</v>
      </c>
      <c r="B7" s="19"/>
      <c r="C7" s="19"/>
      <c r="D7" s="19"/>
      <c r="E7" s="19"/>
      <c r="F7" s="19"/>
      <c r="G7" s="19"/>
      <c r="H7" s="19"/>
      <c r="I7" s="20"/>
      <c r="J7" s="21"/>
      <c r="K7" s="21"/>
      <c r="L7" s="1"/>
      <c r="M7" s="1"/>
    </row>
    <row r="8" spans="1:17" x14ac:dyDescent="0.3">
      <c r="A8" s="22" t="s">
        <v>16</v>
      </c>
      <c r="B8" s="23"/>
      <c r="C8" s="24">
        <f>SUM(C9:C10)</f>
        <v>-5557.47</v>
      </c>
      <c r="D8" s="25">
        <f>SUM(D9:D10)</f>
        <v>137085.26999999999</v>
      </c>
      <c r="E8" s="26">
        <f>SUM(E9:E10)</f>
        <v>487461.98000000004</v>
      </c>
      <c r="F8" s="26">
        <v>482344.04</v>
      </c>
      <c r="G8" s="24">
        <f>SUM(G9:G10)</f>
        <v>473099.95999999996</v>
      </c>
      <c r="H8" s="24">
        <f>C8+E8-F8</f>
        <v>-439.52999999991152</v>
      </c>
      <c r="I8" s="25">
        <f>SUM(I9:I10)</f>
        <v>151447.29000000004</v>
      </c>
      <c r="J8" s="27">
        <v>284698.37</v>
      </c>
      <c r="K8" s="27">
        <f>F8-J8</f>
        <v>197645.66999999998</v>
      </c>
      <c r="L8" s="28">
        <f>H8-I8</f>
        <v>-151886.81999999995</v>
      </c>
      <c r="M8" s="29">
        <v>151886.82</v>
      </c>
      <c r="N8" s="30">
        <f>M8+L8</f>
        <v>0</v>
      </c>
      <c r="O8" s="31"/>
      <c r="P8" s="31"/>
      <c r="Q8" t="s">
        <v>17</v>
      </c>
    </row>
    <row r="9" spans="1:17" hidden="1" x14ac:dyDescent="0.3">
      <c r="A9" s="32" t="s">
        <v>18</v>
      </c>
      <c r="B9" s="33"/>
      <c r="C9" s="34">
        <v>-5557.47</v>
      </c>
      <c r="D9" s="35">
        <v>137085.26999999999</v>
      </c>
      <c r="E9" s="36">
        <f>482125.02</f>
        <v>482125.02</v>
      </c>
      <c r="F9" s="36"/>
      <c r="G9" s="34">
        <v>473062.36</v>
      </c>
      <c r="H9" s="34"/>
      <c r="I9" s="35">
        <f t="shared" ref="I9" si="0">D9+E9-G9</f>
        <v>146147.93000000005</v>
      </c>
      <c r="J9" s="37"/>
      <c r="K9" s="37"/>
      <c r="L9" s="38"/>
      <c r="M9" s="29"/>
      <c r="N9" s="30"/>
      <c r="O9" s="31">
        <f>146147.93</f>
        <v>146147.93</v>
      </c>
      <c r="P9" s="31">
        <f>O9-I9</f>
        <v>0</v>
      </c>
    </row>
    <row r="10" spans="1:17" hidden="1" x14ac:dyDescent="0.3">
      <c r="A10" s="32" t="s">
        <v>19</v>
      </c>
      <c r="B10" s="33"/>
      <c r="C10" s="34">
        <v>0</v>
      </c>
      <c r="D10" s="39">
        <v>0</v>
      </c>
      <c r="E10" s="34">
        <f>5336.27+0.32+0.37</f>
        <v>5336.96</v>
      </c>
      <c r="F10" s="36"/>
      <c r="G10" s="34">
        <f>30.2+7.03+0.37</f>
        <v>37.599999999999994</v>
      </c>
      <c r="H10" s="34"/>
      <c r="I10" s="35">
        <f>D10+E10-G10</f>
        <v>5299.36</v>
      </c>
      <c r="J10" s="37"/>
      <c r="K10" s="37"/>
      <c r="L10" s="28">
        <f>C8-D8</f>
        <v>-142642.74</v>
      </c>
      <c r="M10" s="29"/>
      <c r="N10" s="30"/>
      <c r="O10" s="31">
        <f>4300.49+998.87</f>
        <v>5299.36</v>
      </c>
      <c r="P10" s="31">
        <f>O10-I10</f>
        <v>0</v>
      </c>
    </row>
    <row r="11" spans="1:17" x14ac:dyDescent="0.3">
      <c r="A11" s="40"/>
      <c r="B11" s="41"/>
      <c r="C11" s="24"/>
      <c r="D11" s="42"/>
      <c r="E11" s="26"/>
      <c r="F11" s="26"/>
      <c r="G11" s="24"/>
      <c r="H11" s="24"/>
      <c r="I11" s="42"/>
      <c r="J11" s="43"/>
      <c r="K11" s="43"/>
      <c r="L11" s="28">
        <f>L10-5299.36</f>
        <v>-147942.09999999998</v>
      </c>
      <c r="M11" s="29"/>
      <c r="N11" s="30"/>
      <c r="O11" s="31"/>
    </row>
    <row r="12" spans="1:17" x14ac:dyDescent="0.3">
      <c r="A12" s="40" t="s">
        <v>20</v>
      </c>
      <c r="B12" s="41"/>
      <c r="C12" s="44">
        <f>311857.21</f>
        <v>311857.21000000002</v>
      </c>
      <c r="D12" s="25">
        <v>115600.66</v>
      </c>
      <c r="E12" s="45">
        <f>387364.56+E13</f>
        <v>393080.98</v>
      </c>
      <c r="F12" s="45">
        <v>469222</v>
      </c>
      <c r="G12" s="24">
        <f>403211.94+G13</f>
        <v>408928.36</v>
      </c>
      <c r="H12" s="24">
        <f>C12+E12-F12</f>
        <v>235716.18999999994</v>
      </c>
      <c r="I12" s="25">
        <f>D12+E12-G12</f>
        <v>99753.280000000028</v>
      </c>
      <c r="J12" s="46">
        <v>145428.28</v>
      </c>
      <c r="K12" s="27">
        <f>F12-J12</f>
        <v>323793.71999999997</v>
      </c>
      <c r="L12" s="38">
        <f>H12-I12</f>
        <v>135962.90999999992</v>
      </c>
      <c r="M12" s="47">
        <v>-135962.91</v>
      </c>
      <c r="N12" s="30">
        <f>M12+L12</f>
        <v>0</v>
      </c>
      <c r="O12" s="31">
        <v>99753.279999999999</v>
      </c>
      <c r="P12" s="31">
        <f>O12-I12</f>
        <v>0</v>
      </c>
    </row>
    <row r="13" spans="1:17" x14ac:dyDescent="0.3">
      <c r="A13" s="48" t="s">
        <v>21</v>
      </c>
      <c r="B13" s="49"/>
      <c r="C13" s="50"/>
      <c r="D13" s="51"/>
      <c r="E13" s="52">
        <f>5716.67-0.25</f>
        <v>5716.42</v>
      </c>
      <c r="F13" s="52"/>
      <c r="G13" s="50">
        <f>5716.67-0.25</f>
        <v>5716.42</v>
      </c>
      <c r="H13" s="50"/>
      <c r="I13" s="51"/>
      <c r="J13" s="53"/>
      <c r="K13" s="53"/>
      <c r="L13" s="1"/>
      <c r="M13" s="1"/>
      <c r="O13" s="31"/>
    </row>
    <row r="14" spans="1:17" x14ac:dyDescent="0.3">
      <c r="A14" s="54" t="s">
        <v>22</v>
      </c>
      <c r="B14" s="55"/>
      <c r="C14" s="44">
        <v>0</v>
      </c>
      <c r="D14" s="25">
        <v>30863.1</v>
      </c>
      <c r="E14" s="45">
        <v>96366.6</v>
      </c>
      <c r="F14" s="45">
        <v>96366.6</v>
      </c>
      <c r="G14" s="24">
        <v>94464.95</v>
      </c>
      <c r="H14" s="24">
        <f>C14+E14-F14</f>
        <v>0</v>
      </c>
      <c r="I14" s="25">
        <f>D14+E14-G14</f>
        <v>32764.750000000015</v>
      </c>
      <c r="J14" s="46">
        <v>45540</v>
      </c>
      <c r="K14" s="27">
        <f>F14-J14</f>
        <v>50826.600000000006</v>
      </c>
      <c r="L14" s="38">
        <f>H14-I14</f>
        <v>-32764.750000000015</v>
      </c>
      <c r="M14" s="1">
        <f>32764.97</f>
        <v>32764.97</v>
      </c>
      <c r="N14" s="30">
        <f>M14+L14</f>
        <v>0.21999999998661224</v>
      </c>
      <c r="O14" s="31">
        <f>32764.75</f>
        <v>32764.75</v>
      </c>
      <c r="P14" s="31">
        <f>O14-I14</f>
        <v>0</v>
      </c>
    </row>
    <row r="15" spans="1:17" x14ac:dyDescent="0.3">
      <c r="A15" s="54"/>
      <c r="B15" s="55"/>
      <c r="C15" s="44"/>
      <c r="D15" s="25"/>
      <c r="E15" s="45"/>
      <c r="F15" s="45"/>
      <c r="G15" s="24"/>
      <c r="H15" s="24"/>
      <c r="I15" s="25"/>
      <c r="J15" s="46"/>
      <c r="K15" s="46"/>
      <c r="L15" s="1"/>
      <c r="M15" s="1"/>
      <c r="O15" s="31"/>
    </row>
    <row r="16" spans="1:17" x14ac:dyDescent="0.3">
      <c r="A16" s="54" t="s">
        <v>23</v>
      </c>
      <c r="B16" s="55"/>
      <c r="C16" s="44">
        <v>754.45999999996093</v>
      </c>
      <c r="D16" s="25">
        <v>4761.4200000000092</v>
      </c>
      <c r="E16" s="45">
        <v>28993.759999999998</v>
      </c>
      <c r="F16" s="45">
        <v>28993.759999999998</v>
      </c>
      <c r="G16" s="24">
        <v>26025.29</v>
      </c>
      <c r="H16" s="24">
        <f>C16+E16-F16</f>
        <v>754.45999999995911</v>
      </c>
      <c r="I16" s="25">
        <f>D16+E16-G16</f>
        <v>7729.8900000000067</v>
      </c>
      <c r="J16" s="46">
        <v>26951.39</v>
      </c>
      <c r="K16" s="27">
        <f>F16-J16</f>
        <v>2042.369999999999</v>
      </c>
      <c r="L16" s="38">
        <f>H16-I16</f>
        <v>-6975.4300000000476</v>
      </c>
      <c r="M16" s="1">
        <v>6975.53</v>
      </c>
      <c r="N16" s="30">
        <f>M16+L16</f>
        <v>9.9999999952160579E-2</v>
      </c>
      <c r="O16" s="31">
        <v>7729.89</v>
      </c>
      <c r="P16" s="31">
        <f>O16-I16</f>
        <v>0</v>
      </c>
    </row>
    <row r="17" spans="1:16" x14ac:dyDescent="0.3">
      <c r="A17" s="54"/>
      <c r="B17" s="55"/>
      <c r="C17" s="44"/>
      <c r="D17" s="25"/>
      <c r="E17" s="45"/>
      <c r="F17" s="45"/>
      <c r="G17" s="24"/>
      <c r="H17" s="24"/>
      <c r="I17" s="25"/>
      <c r="J17" s="46"/>
      <c r="K17" s="46"/>
      <c r="L17" s="1"/>
      <c r="M17" s="1"/>
      <c r="O17" s="31"/>
    </row>
    <row r="18" spans="1:16" x14ac:dyDescent="0.3">
      <c r="A18" s="54" t="s">
        <v>24</v>
      </c>
      <c r="B18" s="55"/>
      <c r="C18" s="44">
        <v>2579.5499999999647</v>
      </c>
      <c r="D18" s="25">
        <v>3363.5399999999991</v>
      </c>
      <c r="E18" s="45">
        <v>23613.39</v>
      </c>
      <c r="F18" s="45">
        <v>23613.39</v>
      </c>
      <c r="G18" s="24">
        <v>21035.52</v>
      </c>
      <c r="H18" s="24">
        <f>C18+E18-F18</f>
        <v>2579.5499999999665</v>
      </c>
      <c r="I18" s="25">
        <f>D18+E18-G18</f>
        <v>5941.41</v>
      </c>
      <c r="J18" s="46">
        <v>27284.43</v>
      </c>
      <c r="K18" s="27">
        <f>F18-J18</f>
        <v>-3671.0400000000009</v>
      </c>
      <c r="L18" s="38">
        <f>H18-I18</f>
        <v>-3361.8600000000333</v>
      </c>
      <c r="M18" s="1">
        <f>3362.23</f>
        <v>3362.23</v>
      </c>
      <c r="N18" s="30">
        <f>M18+L18</f>
        <v>0.3699999999666943</v>
      </c>
      <c r="O18" s="31">
        <v>5941.41</v>
      </c>
      <c r="P18" s="31">
        <f>O18-I18</f>
        <v>0</v>
      </c>
    </row>
    <row r="19" spans="1:16" x14ac:dyDescent="0.3">
      <c r="A19" s="54"/>
      <c r="B19" s="55"/>
      <c r="C19" s="44"/>
      <c r="D19" s="25"/>
      <c r="E19" s="45"/>
      <c r="F19" s="45"/>
      <c r="G19" s="24"/>
      <c r="H19" s="24"/>
      <c r="I19" s="25"/>
      <c r="J19" s="46"/>
      <c r="K19" s="46"/>
      <c r="L19" s="1"/>
      <c r="M19" s="1"/>
      <c r="O19" s="31"/>
    </row>
    <row r="20" spans="1:16" x14ac:dyDescent="0.3">
      <c r="A20" s="54" t="s">
        <v>25</v>
      </c>
      <c r="B20" s="55"/>
      <c r="C20" s="44">
        <v>-3333.0800000000309</v>
      </c>
      <c r="D20" s="25">
        <v>4790.0600000000031</v>
      </c>
      <c r="E20" s="45">
        <v>12736.16</v>
      </c>
      <c r="F20" s="45">
        <v>12736.16</v>
      </c>
      <c r="G20" s="24">
        <v>11663.12</v>
      </c>
      <c r="H20" s="24">
        <f>C20+E20-F20</f>
        <v>-3333.0800000000309</v>
      </c>
      <c r="I20" s="25">
        <f>D20+E20-G20</f>
        <v>5863.1</v>
      </c>
      <c r="J20" s="46">
        <v>12847</v>
      </c>
      <c r="K20" s="27">
        <f>F20-J20</f>
        <v>-110.84000000000015</v>
      </c>
      <c r="L20" s="38">
        <f>H20-I20</f>
        <v>-9196.1800000000312</v>
      </c>
      <c r="M20" s="1">
        <f>9196.64</f>
        <v>9196.64</v>
      </c>
      <c r="N20" s="56">
        <f>M20+L20</f>
        <v>0.45999999996820407</v>
      </c>
      <c r="O20" s="31">
        <v>5863.1</v>
      </c>
      <c r="P20" s="31">
        <f>O20-I20</f>
        <v>0</v>
      </c>
    </row>
    <row r="21" spans="1:16" x14ac:dyDescent="0.3">
      <c r="A21" s="54"/>
      <c r="B21" s="55"/>
      <c r="C21" s="44"/>
      <c r="D21" s="25"/>
      <c r="E21" s="45"/>
      <c r="F21" s="45"/>
      <c r="G21" s="24"/>
      <c r="H21" s="24"/>
      <c r="I21" s="25"/>
      <c r="J21" s="46"/>
      <c r="K21" s="46"/>
      <c r="L21" s="1"/>
      <c r="M21" s="1"/>
      <c r="O21" s="31"/>
    </row>
    <row r="22" spans="1:16" x14ac:dyDescent="0.3">
      <c r="A22" s="54" t="s">
        <v>19</v>
      </c>
      <c r="B22" s="57"/>
      <c r="C22" s="44">
        <v>0</v>
      </c>
      <c r="D22" s="44">
        <v>5336.27</v>
      </c>
      <c r="E22" s="44">
        <f>-D22</f>
        <v>-5336.27</v>
      </c>
      <c r="F22" s="44"/>
      <c r="G22" s="58"/>
      <c r="H22" s="24">
        <v>0</v>
      </c>
      <c r="I22" s="25">
        <f>D22+E22-G22</f>
        <v>0</v>
      </c>
      <c r="J22" s="46">
        <v>107745.12</v>
      </c>
      <c r="K22" s="27">
        <f>F22-J22</f>
        <v>-107745.12</v>
      </c>
      <c r="L22" s="38">
        <f>H22-I22</f>
        <v>0</v>
      </c>
      <c r="M22">
        <v>0</v>
      </c>
      <c r="O22" s="31" t="s">
        <v>26</v>
      </c>
      <c r="P22" s="31"/>
    </row>
    <row r="23" spans="1:16" ht="15" thickBot="1" x14ac:dyDescent="0.35">
      <c r="A23" s="54"/>
      <c r="B23" s="55"/>
      <c r="C23" s="44"/>
      <c r="D23" s="25"/>
      <c r="E23" s="45"/>
      <c r="F23" s="45"/>
      <c r="G23" s="24"/>
      <c r="H23" s="24"/>
      <c r="I23" s="25"/>
      <c r="J23" s="46"/>
      <c r="K23" s="46"/>
      <c r="L23" s="1"/>
      <c r="M23" s="1"/>
      <c r="O23" s="31"/>
    </row>
    <row r="24" spans="1:16" ht="15" thickBot="1" x14ac:dyDescent="0.35">
      <c r="A24" s="59" t="s">
        <v>27</v>
      </c>
      <c r="B24" s="60"/>
      <c r="C24" s="61">
        <f>C8+C12+C14+C16+C18+C20+C22</f>
        <v>306300.67</v>
      </c>
      <c r="D24" s="61">
        <f t="shared" ref="D24:K24" si="1">D8+D12+D14+D16+D18+D20+D22</f>
        <v>301800.31999999995</v>
      </c>
      <c r="E24" s="61">
        <f t="shared" si="1"/>
        <v>1036916.6</v>
      </c>
      <c r="F24" s="61">
        <f t="shared" si="1"/>
        <v>1113275.9499999997</v>
      </c>
      <c r="G24" s="61">
        <f t="shared" si="1"/>
        <v>1035217.2</v>
      </c>
      <c r="H24" s="61">
        <f t="shared" si="1"/>
        <v>235277.58999999991</v>
      </c>
      <c r="I24" s="61">
        <f t="shared" si="1"/>
        <v>303499.72000000003</v>
      </c>
      <c r="J24" s="62">
        <f t="shared" si="1"/>
        <v>650494.59000000008</v>
      </c>
      <c r="K24" s="62">
        <f t="shared" si="1"/>
        <v>462781.36</v>
      </c>
      <c r="L24" s="1"/>
      <c r="M24" s="1"/>
    </row>
    <row r="25" spans="1:16" s="68" customFormat="1" ht="29.25" customHeight="1" x14ac:dyDescent="0.3">
      <c r="A25" s="63" t="s">
        <v>28</v>
      </c>
      <c r="B25" s="64"/>
      <c r="C25" s="65">
        <f>-47183.65-0.34</f>
        <v>-47183.99</v>
      </c>
      <c r="D25" s="65">
        <v>65151.71</v>
      </c>
      <c r="E25" s="66">
        <f>SUM(E26:E29)</f>
        <v>405843.65</v>
      </c>
      <c r="F25" s="66"/>
      <c r="G25" s="65">
        <f>SUM(G26:G29)</f>
        <v>404943.74</v>
      </c>
      <c r="H25" s="65">
        <f>C25+E25-F25</f>
        <v>358659.66000000003</v>
      </c>
      <c r="I25" s="65">
        <f>D25+E25-G25</f>
        <v>66051.620000000054</v>
      </c>
      <c r="J25" s="27">
        <f>E25+F25-H25</f>
        <v>47183.989999999991</v>
      </c>
      <c r="K25" s="27"/>
      <c r="L25" s="67"/>
      <c r="M25" s="47"/>
      <c r="N25" s="47"/>
    </row>
    <row r="26" spans="1:16" s="68" customFormat="1" ht="29.25" hidden="1" customHeight="1" x14ac:dyDescent="0.3">
      <c r="A26" s="69" t="s">
        <v>29</v>
      </c>
      <c r="B26" s="70"/>
      <c r="C26" s="71">
        <v>960713.95</v>
      </c>
      <c r="D26" s="72">
        <v>65151.939999999944</v>
      </c>
      <c r="E26" s="73">
        <v>389458.08</v>
      </c>
      <c r="F26" s="73"/>
      <c r="G26" s="72">
        <v>388557.92</v>
      </c>
      <c r="H26" s="72">
        <f t="shared" ref="H26:H29" si="2">C26+E26-F26</f>
        <v>1350172.03</v>
      </c>
      <c r="I26" s="74">
        <f t="shared" ref="I26:I29" si="3">D26+E26-G26</f>
        <v>66052.099999999977</v>
      </c>
      <c r="J26" s="75"/>
      <c r="K26" s="27"/>
      <c r="L26" s="67"/>
      <c r="M26" s="47"/>
      <c r="N26" s="47"/>
      <c r="O26" s="68">
        <f>66052.1</f>
        <v>66052.100000000006</v>
      </c>
      <c r="P26" s="76">
        <f>O26-I26</f>
        <v>0</v>
      </c>
    </row>
    <row r="27" spans="1:16" s="68" customFormat="1" ht="29.25" hidden="1" customHeight="1" x14ac:dyDescent="0.3">
      <c r="A27" s="77" t="s">
        <v>30</v>
      </c>
      <c r="B27" s="78"/>
      <c r="C27" s="79"/>
      <c r="D27" s="80"/>
      <c r="E27" s="81">
        <v>2856.3</v>
      </c>
      <c r="F27" s="81"/>
      <c r="G27" s="80">
        <v>2856.3</v>
      </c>
      <c r="H27" s="80"/>
      <c r="I27" s="82"/>
      <c r="J27" s="75"/>
      <c r="K27" s="27"/>
      <c r="L27" s="67"/>
      <c r="M27" s="47"/>
      <c r="N27" s="47"/>
      <c r="O27" s="76"/>
    </row>
    <row r="28" spans="1:16" s="68" customFormat="1" ht="29.25" hidden="1" customHeight="1" x14ac:dyDescent="0.3">
      <c r="A28" s="83" t="s">
        <v>31</v>
      </c>
      <c r="B28" s="84"/>
      <c r="C28" s="85">
        <f>17014.62</f>
        <v>17014.62</v>
      </c>
      <c r="D28" s="86">
        <v>0</v>
      </c>
      <c r="E28" s="87">
        <f>13529.52</f>
        <v>13529.52</v>
      </c>
      <c r="F28" s="87"/>
      <c r="G28" s="86">
        <v>13529.52</v>
      </c>
      <c r="H28" s="86">
        <f>C28+E28-F28</f>
        <v>30544.14</v>
      </c>
      <c r="I28" s="88">
        <f t="shared" si="3"/>
        <v>0</v>
      </c>
      <c r="J28" s="75"/>
      <c r="K28" s="27"/>
      <c r="L28" s="89"/>
      <c r="M28" s="90"/>
      <c r="N28" s="47">
        <v>86</v>
      </c>
    </row>
    <row r="29" spans="1:16" s="68" customFormat="1" ht="29.25" hidden="1" customHeight="1" thickBot="1" x14ac:dyDescent="0.35">
      <c r="A29" s="91" t="s">
        <v>32</v>
      </c>
      <c r="B29" s="92"/>
      <c r="C29" s="93">
        <v>16220.939999999999</v>
      </c>
      <c r="D29" s="94">
        <v>0</v>
      </c>
      <c r="E29" s="95">
        <v>-0.25</v>
      </c>
      <c r="F29" s="95"/>
      <c r="G29" s="94">
        <v>0</v>
      </c>
      <c r="H29" s="94">
        <f t="shared" si="2"/>
        <v>16220.689999999999</v>
      </c>
      <c r="I29" s="96">
        <f t="shared" si="3"/>
        <v>-0.25</v>
      </c>
      <c r="J29" s="75"/>
      <c r="K29" s="27"/>
      <c r="L29" s="67"/>
      <c r="M29" s="47"/>
      <c r="N29" s="47">
        <v>500715.91</v>
      </c>
      <c r="O29" s="76">
        <f>N29-H31</f>
        <v>0</v>
      </c>
    </row>
    <row r="30" spans="1:16" s="68" customFormat="1" ht="70.5" customHeight="1" x14ac:dyDescent="0.3">
      <c r="A30" s="97" t="s">
        <v>33</v>
      </c>
      <c r="B30" s="98"/>
      <c r="C30" s="24">
        <v>138646.92000000001</v>
      </c>
      <c r="D30" s="24">
        <v>0.48000000000320142</v>
      </c>
      <c r="E30" s="26">
        <v>3409.33</v>
      </c>
      <c r="F30" s="26"/>
      <c r="G30" s="24">
        <v>3409.33</v>
      </c>
      <c r="H30" s="24">
        <f>C30+E30-F30</f>
        <v>142056.25</v>
      </c>
      <c r="I30" s="24">
        <f>D30+E30-G30</f>
        <v>0.48000000000320142</v>
      </c>
      <c r="J30" s="27"/>
      <c r="K30" s="27"/>
      <c r="L30" s="67"/>
      <c r="M30" s="47"/>
      <c r="N30" s="47">
        <v>55</v>
      </c>
    </row>
    <row r="31" spans="1:16" s="68" customFormat="1" ht="23.25" customHeight="1" thickBot="1" x14ac:dyDescent="0.35">
      <c r="A31" s="99" t="s">
        <v>27</v>
      </c>
      <c r="B31" s="100"/>
      <c r="C31" s="101">
        <f>C25+C30</f>
        <v>91462.930000000022</v>
      </c>
      <c r="D31" s="101">
        <f t="shared" ref="D31:F31" si="4">D25+D30</f>
        <v>65152.19</v>
      </c>
      <c r="E31" s="101">
        <f t="shared" si="4"/>
        <v>409252.98000000004</v>
      </c>
      <c r="F31" s="101">
        <f t="shared" si="4"/>
        <v>0</v>
      </c>
      <c r="G31" s="102">
        <f>G25+G30</f>
        <v>408353.07</v>
      </c>
      <c r="H31" s="101">
        <f>H25+H30</f>
        <v>500715.91000000003</v>
      </c>
      <c r="I31" s="101">
        <f>I25+I30</f>
        <v>66052.100000000064</v>
      </c>
      <c r="J31" s="103">
        <f>J25</f>
        <v>47183.989999999991</v>
      </c>
      <c r="K31" s="103">
        <f>K25</f>
        <v>0</v>
      </c>
      <c r="L31" s="38">
        <f>H31-I31</f>
        <v>434663.80999999994</v>
      </c>
      <c r="M31" s="104"/>
      <c r="N31" s="2">
        <v>434663.81</v>
      </c>
      <c r="O31" s="76">
        <f>N31-L31</f>
        <v>0</v>
      </c>
    </row>
    <row r="32" spans="1:16" s="110" customFormat="1" ht="15" hidden="1" thickBot="1" x14ac:dyDescent="0.35">
      <c r="A32" s="105"/>
      <c r="B32" s="106"/>
      <c r="C32" s="107"/>
      <c r="D32" s="107"/>
      <c r="E32" s="107"/>
      <c r="F32" s="107"/>
      <c r="G32" s="107"/>
      <c r="H32" s="107"/>
      <c r="I32" s="107"/>
      <c r="J32" s="107"/>
      <c r="K32" s="107"/>
      <c r="L32" s="108"/>
      <c r="M32" s="109"/>
    </row>
    <row r="33" spans="1:16" ht="15" thickBot="1" x14ac:dyDescent="0.35">
      <c r="A33" s="111"/>
      <c r="B33" s="112"/>
      <c r="C33" s="112"/>
      <c r="D33" s="112"/>
      <c r="E33" s="112"/>
      <c r="F33" s="112"/>
      <c r="G33" s="112"/>
      <c r="H33" s="112"/>
      <c r="I33" s="113"/>
      <c r="J33" s="114"/>
      <c r="K33" s="114"/>
    </row>
    <row r="34" spans="1:16" x14ac:dyDescent="0.3">
      <c r="A34" s="115" t="s">
        <v>34</v>
      </c>
      <c r="B34" s="116"/>
      <c r="C34" s="117">
        <v>-25110.550000000017</v>
      </c>
      <c r="D34" s="117">
        <v>14306.5</v>
      </c>
      <c r="E34" s="117"/>
      <c r="F34" s="117"/>
      <c r="G34" s="118">
        <v>1540.76</v>
      </c>
      <c r="H34" s="117">
        <f>C34+E34-F34</f>
        <v>-25110.550000000017</v>
      </c>
      <c r="I34" s="119">
        <f>D34+E34-G34</f>
        <v>12765.74</v>
      </c>
      <c r="J34" s="27">
        <f>F34</f>
        <v>0</v>
      </c>
      <c r="K34" s="27">
        <f>F34-J34</f>
        <v>0</v>
      </c>
      <c r="O34">
        <f>12765.74</f>
        <v>12765.74</v>
      </c>
      <c r="P34" s="30">
        <f>O34-I34</f>
        <v>0</v>
      </c>
    </row>
    <row r="35" spans="1:16" x14ac:dyDescent="0.3">
      <c r="A35" s="120" t="s">
        <v>35</v>
      </c>
      <c r="B35" s="121"/>
      <c r="C35" s="44">
        <v>-44842.350000000049</v>
      </c>
      <c r="D35" s="44">
        <v>12507.30000000007</v>
      </c>
      <c r="E35" s="44"/>
      <c r="F35" s="44"/>
      <c r="G35" s="58">
        <v>1622.06</v>
      </c>
      <c r="H35" s="44">
        <f>C35+E35-F35</f>
        <v>-44842.350000000049</v>
      </c>
      <c r="I35" s="25">
        <f>D35+E35-G35</f>
        <v>10885.240000000071</v>
      </c>
      <c r="J35" s="27">
        <f>F35</f>
        <v>0</v>
      </c>
      <c r="K35" s="27">
        <f>F35-J35</f>
        <v>0</v>
      </c>
      <c r="O35">
        <f>10885.24</f>
        <v>10885.24</v>
      </c>
      <c r="P35" s="30">
        <f>O35-I35</f>
        <v>-7.0940586738288403E-11</v>
      </c>
    </row>
    <row r="36" spans="1:16" ht="15" thickBot="1" x14ac:dyDescent="0.35">
      <c r="A36" s="54" t="s">
        <v>36</v>
      </c>
      <c r="B36" s="57"/>
      <c r="C36" s="44">
        <v>-29097.179999999946</v>
      </c>
      <c r="D36" s="44">
        <v>56647.05</v>
      </c>
      <c r="E36" s="44"/>
      <c r="F36" s="44"/>
      <c r="G36" s="58">
        <v>2945.81</v>
      </c>
      <c r="H36" s="44">
        <f>C36+E36-F36</f>
        <v>-29097.179999999946</v>
      </c>
      <c r="I36" s="25">
        <f>D36+E36-G36</f>
        <v>53701.240000000005</v>
      </c>
      <c r="J36" s="27">
        <f>F36</f>
        <v>0</v>
      </c>
      <c r="K36" s="27">
        <f>F36-J36</f>
        <v>0</v>
      </c>
      <c r="O36">
        <f>53701.24</f>
        <v>53701.24</v>
      </c>
      <c r="P36" s="30">
        <f>O36-I36</f>
        <v>0</v>
      </c>
    </row>
    <row r="37" spans="1:16" x14ac:dyDescent="0.3">
      <c r="A37" s="54" t="s">
        <v>37</v>
      </c>
      <c r="B37" s="57"/>
      <c r="C37" s="44">
        <v>0</v>
      </c>
      <c r="D37" s="44">
        <v>1502.2399999999998</v>
      </c>
      <c r="E37" s="44"/>
      <c r="F37" s="44"/>
      <c r="G37" s="58">
        <v>0</v>
      </c>
      <c r="H37" s="44">
        <f>C37+E37-F37</f>
        <v>0</v>
      </c>
      <c r="I37" s="25">
        <f>D37+E37-G37</f>
        <v>1502.2399999999998</v>
      </c>
      <c r="J37" s="122"/>
      <c r="K37" s="27">
        <f>F37-J37</f>
        <v>0</v>
      </c>
      <c r="O37">
        <f>1502.24</f>
        <v>1502.24</v>
      </c>
      <c r="P37" s="30">
        <f>O37-I37</f>
        <v>0</v>
      </c>
    </row>
    <row r="38" spans="1:16" ht="15" thickBot="1" x14ac:dyDescent="0.35">
      <c r="A38" s="123"/>
      <c r="B38" s="124"/>
      <c r="C38" s="125">
        <v>0</v>
      </c>
      <c r="D38" s="125"/>
      <c r="E38" s="125"/>
      <c r="F38" s="125"/>
      <c r="G38" s="125"/>
      <c r="H38" s="126">
        <f>C38+E38-F38</f>
        <v>0</v>
      </c>
      <c r="I38" s="127"/>
      <c r="J38" s="46"/>
      <c r="K38" s="27">
        <f>F38-J38</f>
        <v>0</v>
      </c>
    </row>
    <row r="39" spans="1:16" ht="15" thickBot="1" x14ac:dyDescent="0.35">
      <c r="A39" s="128" t="s">
        <v>27</v>
      </c>
      <c r="B39" s="129"/>
      <c r="C39" s="130">
        <f>C34+C35+C36+C37</f>
        <v>-99050.080000000016</v>
      </c>
      <c r="D39" s="130">
        <f>D34+D35+D36+D37</f>
        <v>84963.090000000069</v>
      </c>
      <c r="E39" s="130">
        <f>E34+E35+E36+E37</f>
        <v>0</v>
      </c>
      <c r="F39" s="130">
        <f t="shared" ref="F39:K39" si="5">F34+F35+F36+F37</f>
        <v>0</v>
      </c>
      <c r="G39" s="130">
        <f t="shared" si="5"/>
        <v>6108.6299999999992</v>
      </c>
      <c r="H39" s="130">
        <f>H34+H35+H36+H37</f>
        <v>-99050.080000000016</v>
      </c>
      <c r="I39" s="130">
        <f>I34+I35+I36+I37</f>
        <v>78854.460000000079</v>
      </c>
      <c r="J39" s="131">
        <f t="shared" si="5"/>
        <v>0</v>
      </c>
      <c r="K39" s="131">
        <f t="shared" si="5"/>
        <v>0</v>
      </c>
    </row>
    <row r="40" spans="1:16" ht="15" thickBot="1" x14ac:dyDescent="0.35">
      <c r="A40" s="128" t="s">
        <v>38</v>
      </c>
      <c r="B40" s="129"/>
      <c r="C40" s="130">
        <f>C24+C39+C31</f>
        <v>298713.52</v>
      </c>
      <c r="D40" s="130">
        <f t="shared" ref="D40:I40" si="6">D24+D39+D31</f>
        <v>451915.60000000003</v>
      </c>
      <c r="E40" s="130">
        <f t="shared" si="6"/>
        <v>1446169.58</v>
      </c>
      <c r="F40" s="130">
        <f t="shared" si="6"/>
        <v>1113275.9499999997</v>
      </c>
      <c r="G40" s="130">
        <f t="shared" si="6"/>
        <v>1449678.9</v>
      </c>
      <c r="H40" s="130">
        <f t="shared" si="6"/>
        <v>636943.41999999993</v>
      </c>
      <c r="I40" s="130">
        <f t="shared" si="6"/>
        <v>448406.28000000014</v>
      </c>
      <c r="J40" s="132">
        <f>J24+J39</f>
        <v>650494.59000000008</v>
      </c>
      <c r="K40" s="132">
        <f>K24+K39</f>
        <v>462781.36</v>
      </c>
    </row>
    <row r="41" spans="1:16" s="137" customFormat="1" ht="15" thickBot="1" x14ac:dyDescent="0.35">
      <c r="A41" s="133" t="s">
        <v>39</v>
      </c>
      <c r="B41" s="134"/>
      <c r="C41" s="135">
        <v>97125</v>
      </c>
      <c r="D41" s="135">
        <v>1000</v>
      </c>
      <c r="E41" s="135">
        <f>E42+E43+E44</f>
        <v>10216.67</v>
      </c>
      <c r="F41" s="135">
        <f>G41*0.125</f>
        <v>714.58375000000001</v>
      </c>
      <c r="G41" s="135">
        <f>G42+G43+G44</f>
        <v>5716.67</v>
      </c>
      <c r="H41" s="44">
        <f>C41+E41-F41</f>
        <v>106627.08624999999</v>
      </c>
      <c r="I41" s="25">
        <f>D41+E41-G41</f>
        <v>5500</v>
      </c>
      <c r="J41" s="136"/>
      <c r="K41" s="136"/>
    </row>
    <row r="42" spans="1:16" s="137" customFormat="1" ht="15" thickBot="1" x14ac:dyDescent="0.35">
      <c r="A42" s="133" t="s">
        <v>40</v>
      </c>
      <c r="B42" s="134"/>
      <c r="C42" s="135"/>
      <c r="D42" s="135">
        <v>0.42999999999983629</v>
      </c>
      <c r="E42" s="135"/>
      <c r="F42" s="135"/>
      <c r="G42" s="135"/>
      <c r="H42" s="44"/>
      <c r="I42" s="135">
        <f>D42+E42-G42</f>
        <v>0.42999999999983629</v>
      </c>
      <c r="J42" s="138">
        <f>J37+J38+J39+J40</f>
        <v>650494.59000000008</v>
      </c>
      <c r="K42" s="138"/>
    </row>
    <row r="43" spans="1:16" s="137" customFormat="1" ht="15" thickBot="1" x14ac:dyDescent="0.35">
      <c r="A43" s="133" t="s">
        <v>41</v>
      </c>
      <c r="B43" s="134"/>
      <c r="C43" s="135"/>
      <c r="D43" s="135">
        <v>499.56999999999971</v>
      </c>
      <c r="E43" s="135">
        <f>500*12</f>
        <v>6000</v>
      </c>
      <c r="F43" s="135"/>
      <c r="G43" s="135">
        <f>5716.67-G44</f>
        <v>1500</v>
      </c>
      <c r="H43" s="44"/>
      <c r="I43" s="135">
        <f>D43+E43-G43</f>
        <v>4999.57</v>
      </c>
      <c r="J43" s="139"/>
      <c r="K43" s="139"/>
    </row>
    <row r="44" spans="1:16" ht="15" thickBot="1" x14ac:dyDescent="0.35">
      <c r="A44" s="133" t="s">
        <v>42</v>
      </c>
      <c r="B44" s="134"/>
      <c r="C44" s="135"/>
      <c r="D44" s="135">
        <v>0</v>
      </c>
      <c r="E44" s="135">
        <f>500*8+216.67</f>
        <v>4216.67</v>
      </c>
      <c r="F44" s="135"/>
      <c r="G44" s="135">
        <f>500*8+216.67</f>
        <v>4216.67</v>
      </c>
      <c r="H44" s="44"/>
      <c r="I44" s="135">
        <f>D44+E44-G44</f>
        <v>0</v>
      </c>
      <c r="J44" s="62">
        <f>J24+J35+J42</f>
        <v>1300989.1800000002</v>
      </c>
      <c r="K44" s="62"/>
    </row>
    <row r="45" spans="1:16" ht="15" thickBot="1" x14ac:dyDescent="0.35">
      <c r="A45" s="140" t="s">
        <v>43</v>
      </c>
      <c r="B45" s="140"/>
      <c r="C45" s="141"/>
      <c r="D45" s="141"/>
      <c r="E45" s="141"/>
      <c r="F45" s="141">
        <f>F41</f>
        <v>714.58375000000001</v>
      </c>
      <c r="G45" s="141"/>
      <c r="H45" s="142"/>
      <c r="I45" s="141"/>
      <c r="J45" s="143"/>
      <c r="K45" s="143"/>
    </row>
    <row r="46" spans="1:16" ht="15" thickBot="1" x14ac:dyDescent="0.35">
      <c r="A46" s="144" t="s">
        <v>44</v>
      </c>
      <c r="B46" s="145"/>
      <c r="C46" s="61">
        <f>C40+C41</f>
        <v>395838.52</v>
      </c>
      <c r="D46" s="61">
        <f t="shared" ref="D46:I46" si="7">D40+D41</f>
        <v>452915.60000000003</v>
      </c>
      <c r="E46" s="61">
        <f t="shared" si="7"/>
        <v>1456386.25</v>
      </c>
      <c r="F46" s="61">
        <f t="shared" si="7"/>
        <v>1113990.5337499997</v>
      </c>
      <c r="G46" s="61">
        <f t="shared" si="7"/>
        <v>1455395.5699999998</v>
      </c>
      <c r="H46" s="61">
        <f t="shared" si="7"/>
        <v>743570.50624999986</v>
      </c>
      <c r="I46" s="61">
        <f t="shared" si="7"/>
        <v>453906.28000000014</v>
      </c>
      <c r="J46" s="27"/>
      <c r="K46" s="27"/>
    </row>
  </sheetData>
  <mergeCells count="43">
    <mergeCell ref="A46:B46"/>
    <mergeCell ref="A40:B40"/>
    <mergeCell ref="A41:B41"/>
    <mergeCell ref="A42:B42"/>
    <mergeCell ref="A43:B43"/>
    <mergeCell ref="A44:B44"/>
    <mergeCell ref="A45:B45"/>
    <mergeCell ref="A34:B34"/>
    <mergeCell ref="A35:B35"/>
    <mergeCell ref="A36:B36"/>
    <mergeCell ref="A37:B37"/>
    <mergeCell ref="A38:B38"/>
    <mergeCell ref="A39:B39"/>
    <mergeCell ref="A27:B27"/>
    <mergeCell ref="A28:B28"/>
    <mergeCell ref="A29:B29"/>
    <mergeCell ref="A30:B30"/>
    <mergeCell ref="A31:B31"/>
    <mergeCell ref="A33:I33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I3"/>
    <mergeCell ref="A4:I4"/>
    <mergeCell ref="A5:B5"/>
    <mergeCell ref="A6:B6"/>
    <mergeCell ref="A7:I7"/>
    <mergeCell ref="A8:B8"/>
  </mergeCells>
  <pageMargins left="0.7" right="0.7" top="0.75" bottom="0.75" header="0.3" footer="0.3"/>
  <pageSetup paperSize="9" scale="98" orientation="landscape" r:id="rId1"/>
  <rowBreaks count="1" manualBreakCount="1">
    <brk id="4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2026-02-25T13:56:43Z</dcterms:created>
  <dcterms:modified xsi:type="dcterms:W3CDTF">2026-02-25T13:57:51Z</dcterms:modified>
</cp:coreProperties>
</file>